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na\Desktop\LOWOB\Agendas\LTC Full Council\171110\"/>
    </mc:Choice>
  </mc:AlternateContent>
  <bookViews>
    <workbookView xWindow="0" yWindow="0" windowWidth="8910" windowHeight="6195" xr2:uid="{00000000-000D-0000-FFFF-FFFF00000000}"/>
  </bookViews>
  <sheets>
    <sheet name="Summary Net" sheetId="46" r:id="rId1"/>
    <sheet name="Summary Gross" sheetId="48" r:id="rId2"/>
    <sheet name="Museum" sheetId="26" r:id="rId3"/>
    <sheet name="Caravan Site" sheetId="19" r:id="rId4"/>
    <sheet name="CCTV" sheetId="27" r:id="rId5"/>
    <sheet name="Events" sheetId="28" r:id="rId6"/>
    <sheet name="Marina Theatre" sheetId="29" r:id="rId7"/>
    <sheet name="Open Spaces" sheetId="30" r:id="rId8"/>
    <sheet name="Sparrows Nest" sheetId="33" r:id="rId9"/>
    <sheet name="Belle Vue" sheetId="34" r:id="rId10"/>
    <sheet name="Kensington Gdns" sheetId="35" r:id="rId11"/>
    <sheet name="Play Areas" sheetId="32" r:id="rId12"/>
    <sheet name="Denes Oval" sheetId="36" r:id="rId13"/>
    <sheet name="Normanston Park" sheetId="37" r:id="rId14"/>
    <sheet name="Pakefield St PC" sheetId="38" r:id="rId15"/>
    <sheet name="The Triangle PC" sheetId="39" r:id="rId16"/>
    <sheet name="Kn Gdns PC" sheetId="40" r:id="rId17"/>
    <sheet name="Kirkley Cliff Rd PC" sheetId="42" r:id="rId18"/>
    <sheet name="Low Cemetery PC" sheetId="41" r:id="rId19"/>
    <sheet name="Miscellaneous" sheetId="43" r:id="rId20"/>
    <sheet name="Town Hall" sheetId="44" r:id="rId21"/>
    <sheet name="Administration" sheetId="45" r:id="rId22"/>
    <sheet name="Reserve Balances" sheetId="49" r:id="rId23"/>
    <sheet name="Sheet1" sheetId="47" r:id="rId24"/>
  </sheets>
  <definedNames>
    <definedName name="_xlnm.Print_Area" localSheetId="22">'Reserve Balances'!$A$4:$AO$31</definedName>
  </definedNames>
  <calcPr calcId="171027"/>
</workbook>
</file>

<file path=xl/calcChain.xml><?xml version="1.0" encoding="utf-8"?>
<calcChain xmlns="http://schemas.openxmlformats.org/spreadsheetml/2006/main">
  <c r="AJ14" i="49" l="1"/>
  <c r="AD14" i="49"/>
  <c r="X14" i="49"/>
  <c r="Q14" i="49"/>
  <c r="AJ18" i="49" l="1"/>
  <c r="AD18" i="49"/>
  <c r="X18" i="49"/>
  <c r="AJ16" i="49"/>
  <c r="AD16" i="49"/>
  <c r="AD20" i="49" s="1"/>
  <c r="X16" i="49"/>
  <c r="AJ20" i="49"/>
  <c r="Q20" i="49"/>
  <c r="O10" i="49"/>
  <c r="AL20" i="49"/>
  <c r="AK20" i="49"/>
  <c r="AI20" i="49"/>
  <c r="AF20" i="49"/>
  <c r="AE20" i="49"/>
  <c r="AC20" i="49"/>
  <c r="Z20" i="49"/>
  <c r="Y20" i="49"/>
  <c r="W20" i="49"/>
  <c r="S20" i="49"/>
  <c r="R20" i="49"/>
  <c r="P20" i="49"/>
  <c r="N20" i="49"/>
  <c r="M20" i="49"/>
  <c r="H20" i="49"/>
  <c r="G20" i="49"/>
  <c r="F20" i="49"/>
  <c r="E20" i="49"/>
  <c r="D20" i="49"/>
  <c r="C20" i="49"/>
  <c r="B20" i="49"/>
  <c r="K20" i="49"/>
  <c r="I18" i="49"/>
  <c r="L18" i="49" s="1"/>
  <c r="V18" i="49" s="1"/>
  <c r="AB18" i="49" s="1"/>
  <c r="J20" i="49"/>
  <c r="I16" i="49"/>
  <c r="L16" i="49" s="1"/>
  <c r="I14" i="49"/>
  <c r="L14" i="49" s="1"/>
  <c r="U10" i="49"/>
  <c r="I10" i="49"/>
  <c r="G10" i="49"/>
  <c r="E10" i="49"/>
  <c r="X20" i="49" l="1"/>
  <c r="AH18" i="49"/>
  <c r="AN18" i="49" s="1"/>
  <c r="AA10" i="49"/>
  <c r="AG10" i="49" s="1"/>
  <c r="T20" i="49"/>
  <c r="V16" i="49"/>
  <c r="AB16" i="49" s="1"/>
  <c r="AH16" i="49" s="1"/>
  <c r="AN16" i="49" s="1"/>
  <c r="U16" i="49"/>
  <c r="AA16" i="49" s="1"/>
  <c r="AG16" i="49" s="1"/>
  <c r="AM16" i="49" s="1"/>
  <c r="I20" i="49"/>
  <c r="U18" i="49"/>
  <c r="AA18" i="49" s="1"/>
  <c r="AG18" i="49" s="1"/>
  <c r="AM18" i="49" s="1"/>
  <c r="L10" i="49"/>
  <c r="L20" i="49" l="1"/>
  <c r="U14" i="49"/>
  <c r="O20" i="49"/>
  <c r="V14" i="49"/>
  <c r="AM10" i="49"/>
  <c r="V20" i="49" l="1"/>
  <c r="AB14" i="49"/>
  <c r="U20" i="49"/>
  <c r="AA14" i="49"/>
  <c r="AA20" i="49" l="1"/>
  <c r="AG14" i="49"/>
  <c r="AH14" i="49"/>
  <c r="AB20" i="49"/>
  <c r="AN14" i="49" l="1"/>
  <c r="AH20" i="49"/>
  <c r="AG20" i="49"/>
  <c r="AM14" i="49"/>
  <c r="AN20" i="49" l="1"/>
  <c r="AM20" i="49"/>
  <c r="K30" i="45" l="1"/>
  <c r="L20" i="44"/>
  <c r="M20" i="44" s="1"/>
  <c r="L19" i="44"/>
  <c r="M19" i="44" s="1"/>
  <c r="L18" i="44"/>
  <c r="M18" i="44" s="1"/>
  <c r="L17" i="44"/>
  <c r="M17" i="44" s="1"/>
  <c r="L16" i="44"/>
  <c r="M16" i="44" s="1"/>
  <c r="L12" i="44"/>
  <c r="M12" i="44" s="1"/>
  <c r="L11" i="44"/>
  <c r="M11" i="44" s="1"/>
  <c r="L10" i="44"/>
  <c r="M10" i="44" s="1"/>
  <c r="L9" i="44"/>
  <c r="M9" i="44" s="1"/>
  <c r="L8" i="44"/>
  <c r="M8" i="44" s="1"/>
  <c r="L7" i="44"/>
  <c r="M7" i="44" s="1"/>
  <c r="L5" i="44"/>
  <c r="M5" i="44" s="1"/>
  <c r="K6" i="44"/>
  <c r="L6" i="44" s="1"/>
  <c r="M6" i="44" s="1"/>
  <c r="H6" i="44"/>
  <c r="L30" i="45" l="1"/>
  <c r="M30" i="45" s="1"/>
  <c r="K10" i="41"/>
  <c r="K10" i="42"/>
  <c r="K11" i="40"/>
  <c r="K9" i="39"/>
  <c r="K10" i="38"/>
  <c r="K10" i="37"/>
  <c r="K12" i="36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11" i="35"/>
  <c r="K8" i="34"/>
  <c r="K14" i="33"/>
  <c r="K13" i="33"/>
  <c r="K12" i="33"/>
  <c r="K12" i="30"/>
  <c r="K11" i="30"/>
  <c r="K10" i="30"/>
  <c r="K9" i="30"/>
  <c r="K8" i="30"/>
  <c r="K7" i="30"/>
  <c r="K5" i="28"/>
  <c r="L5" i="28" s="1"/>
  <c r="M5" i="28" s="1"/>
  <c r="K5" i="27"/>
  <c r="L5" i="27" s="1"/>
  <c r="M5" i="27" s="1"/>
  <c r="K7" i="26"/>
  <c r="L7" i="26" s="1"/>
  <c r="M7" i="26" s="1"/>
  <c r="K6" i="26"/>
  <c r="L6" i="26" s="1"/>
  <c r="M6" i="26" s="1"/>
  <c r="K11" i="27"/>
  <c r="M39" i="46" l="1"/>
  <c r="L39" i="46"/>
  <c r="H12" i="43"/>
  <c r="M13" i="43"/>
  <c r="L13" i="43"/>
  <c r="K13" i="43"/>
  <c r="J13" i="43"/>
  <c r="I13" i="43"/>
  <c r="G13" i="43"/>
  <c r="F13" i="43"/>
  <c r="E13" i="43"/>
  <c r="D13" i="43"/>
  <c r="C13" i="43"/>
  <c r="H11" i="43"/>
  <c r="H10" i="43"/>
  <c r="H13" i="43" s="1"/>
  <c r="D36" i="45" l="1"/>
  <c r="D35" i="45"/>
  <c r="D34" i="45"/>
  <c r="D33" i="45"/>
  <c r="D32" i="45"/>
  <c r="D31" i="45"/>
  <c r="D27" i="45"/>
  <c r="D26" i="45"/>
  <c r="D25" i="45"/>
  <c r="D24" i="45"/>
  <c r="D23" i="45"/>
  <c r="D22" i="45"/>
  <c r="D19" i="45"/>
  <c r="D16" i="45"/>
  <c r="D12" i="45"/>
  <c r="D11" i="45"/>
  <c r="D9" i="45"/>
  <c r="D8" i="45"/>
  <c r="D7" i="45"/>
  <c r="D6" i="45"/>
  <c r="D5" i="45"/>
  <c r="F14" i="37"/>
  <c r="F16" i="36"/>
  <c r="F19" i="33"/>
  <c r="F17" i="35"/>
  <c r="B3" i="48" l="1"/>
  <c r="M45" i="48" l="1"/>
  <c r="L45" i="48"/>
  <c r="K45" i="48"/>
  <c r="J45" i="48"/>
  <c r="I45" i="48"/>
  <c r="G45" i="48"/>
  <c r="F45" i="48"/>
  <c r="E45" i="48"/>
  <c r="D45" i="48"/>
  <c r="M44" i="48"/>
  <c r="L44" i="48"/>
  <c r="K44" i="48"/>
  <c r="J44" i="48"/>
  <c r="I44" i="48"/>
  <c r="G44" i="48"/>
  <c r="F44" i="48"/>
  <c r="E44" i="48"/>
  <c r="D44" i="48"/>
  <c r="M43" i="48"/>
  <c r="L43" i="48"/>
  <c r="K43" i="48"/>
  <c r="J43" i="48"/>
  <c r="I43" i="48"/>
  <c r="G43" i="48"/>
  <c r="F43" i="48"/>
  <c r="E43" i="48"/>
  <c r="D43" i="48"/>
  <c r="M42" i="48"/>
  <c r="L42" i="48"/>
  <c r="K42" i="48"/>
  <c r="I42" i="48"/>
  <c r="G42" i="48"/>
  <c r="F42" i="48"/>
  <c r="E42" i="48"/>
  <c r="D42" i="48"/>
  <c r="M41" i="48"/>
  <c r="L41" i="48"/>
  <c r="K41" i="48"/>
  <c r="J41" i="48"/>
  <c r="I41" i="48"/>
  <c r="H41" i="48"/>
  <c r="G41" i="48"/>
  <c r="F41" i="48"/>
  <c r="E41" i="48"/>
  <c r="D41" i="48"/>
  <c r="M38" i="48"/>
  <c r="L38" i="48"/>
  <c r="K38" i="48"/>
  <c r="J38" i="48"/>
  <c r="I38" i="48"/>
  <c r="G38" i="48"/>
  <c r="F38" i="48"/>
  <c r="E38" i="48"/>
  <c r="D38" i="48"/>
  <c r="M33" i="48"/>
  <c r="L33" i="48"/>
  <c r="K33" i="48"/>
  <c r="J33" i="48"/>
  <c r="I33" i="48"/>
  <c r="G33" i="48"/>
  <c r="F33" i="48"/>
  <c r="E33" i="48"/>
  <c r="D33" i="48"/>
  <c r="J31" i="48"/>
  <c r="I31" i="48"/>
  <c r="G31" i="48"/>
  <c r="F31" i="48"/>
  <c r="E31" i="48"/>
  <c r="D31" i="48"/>
  <c r="M29" i="48"/>
  <c r="L29" i="48"/>
  <c r="K29" i="48"/>
  <c r="J29" i="48"/>
  <c r="I29" i="48"/>
  <c r="G29" i="48"/>
  <c r="F29" i="48"/>
  <c r="E29" i="48"/>
  <c r="D29" i="48"/>
  <c r="C45" i="48"/>
  <c r="C44" i="48"/>
  <c r="C43" i="48"/>
  <c r="C42" i="48"/>
  <c r="C41" i="48"/>
  <c r="C38" i="48"/>
  <c r="C33" i="48"/>
  <c r="C31" i="48"/>
  <c r="C29" i="48"/>
  <c r="P17" i="48"/>
  <c r="O17" i="48"/>
  <c r="N17" i="48"/>
  <c r="I14" i="48"/>
  <c r="G14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B6" i="48"/>
  <c r="B5" i="48"/>
  <c r="M50" i="45"/>
  <c r="M48" i="48" s="1"/>
  <c r="L50" i="45"/>
  <c r="L48" i="48" s="1"/>
  <c r="K50" i="45"/>
  <c r="K48" i="48" s="1"/>
  <c r="J50" i="45"/>
  <c r="J48" i="48" s="1"/>
  <c r="I50" i="45"/>
  <c r="I48" i="48" s="1"/>
  <c r="H50" i="45"/>
  <c r="H48" i="48" s="1"/>
  <c r="G50" i="45"/>
  <c r="G48" i="48" s="1"/>
  <c r="F50" i="45"/>
  <c r="F48" i="48" s="1"/>
  <c r="E50" i="45"/>
  <c r="E48" i="48" s="1"/>
  <c r="D50" i="45"/>
  <c r="D48" i="48" s="1"/>
  <c r="C50" i="45"/>
  <c r="C48" i="48" s="1"/>
  <c r="M45" i="45"/>
  <c r="L45" i="45"/>
  <c r="K45" i="45"/>
  <c r="J45" i="45"/>
  <c r="I45" i="45"/>
  <c r="G45" i="45"/>
  <c r="F45" i="45"/>
  <c r="E45" i="45"/>
  <c r="D45" i="45"/>
  <c r="C45" i="45"/>
  <c r="H18" i="43"/>
  <c r="H6" i="26" l="1"/>
  <c r="G7" i="43" l="1"/>
  <c r="G6" i="43"/>
  <c r="G5" i="43"/>
  <c r="D7" i="43"/>
  <c r="D6" i="43"/>
  <c r="D5" i="43"/>
  <c r="G10" i="41"/>
  <c r="D10" i="41"/>
  <c r="G10" i="42"/>
  <c r="G11" i="40"/>
  <c r="D11" i="40"/>
  <c r="G10" i="38"/>
  <c r="D10" i="38"/>
  <c r="G12" i="36"/>
  <c r="D12" i="36"/>
  <c r="I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11" i="35"/>
  <c r="G8" i="34"/>
  <c r="G14" i="33"/>
  <c r="G13" i="33"/>
  <c r="G12" i="33"/>
  <c r="G9" i="30"/>
  <c r="G8" i="30"/>
  <c r="G7" i="30"/>
  <c r="G11" i="27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11" i="35"/>
  <c r="D8" i="34"/>
  <c r="D14" i="33"/>
  <c r="D12" i="33"/>
  <c r="D9" i="30"/>
  <c r="D8" i="30"/>
  <c r="D7" i="30"/>
  <c r="D11" i="27"/>
  <c r="G27" i="32" l="1"/>
  <c r="D10" i="42"/>
  <c r="H44" i="45" l="1"/>
  <c r="H45" i="45" s="1"/>
  <c r="H40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19" i="45"/>
  <c r="H16" i="45"/>
  <c r="H13" i="45"/>
  <c r="H12" i="45"/>
  <c r="H11" i="45"/>
  <c r="H9" i="45"/>
  <c r="H8" i="45"/>
  <c r="H7" i="45"/>
  <c r="H6" i="45"/>
  <c r="H5" i="45"/>
  <c r="H26" i="44"/>
  <c r="H25" i="44"/>
  <c r="H20" i="44"/>
  <c r="H19" i="44"/>
  <c r="H18" i="44"/>
  <c r="H17" i="44"/>
  <c r="H16" i="44"/>
  <c r="H13" i="44"/>
  <c r="H12" i="44"/>
  <c r="H11" i="44"/>
  <c r="H10" i="44"/>
  <c r="H9" i="44"/>
  <c r="H8" i="44"/>
  <c r="H7" i="44"/>
  <c r="H5" i="44"/>
  <c r="H19" i="43"/>
  <c r="H17" i="43"/>
  <c r="H7" i="43"/>
  <c r="H6" i="43"/>
  <c r="H5" i="43"/>
  <c r="H10" i="41"/>
  <c r="H7" i="41"/>
  <c r="H6" i="41"/>
  <c r="H5" i="41"/>
  <c r="H10" i="42"/>
  <c r="H7" i="42"/>
  <c r="H6" i="42"/>
  <c r="H5" i="42"/>
  <c r="H11" i="40"/>
  <c r="H8" i="40"/>
  <c r="H7" i="40"/>
  <c r="H6" i="40"/>
  <c r="H5" i="40"/>
  <c r="H6" i="39"/>
  <c r="H5" i="39"/>
  <c r="H10" i="38"/>
  <c r="H7" i="38"/>
  <c r="H6" i="38"/>
  <c r="H5" i="38"/>
  <c r="H15" i="37"/>
  <c r="H14" i="37"/>
  <c r="H7" i="37"/>
  <c r="H6" i="37"/>
  <c r="H5" i="37"/>
  <c r="H16" i="36"/>
  <c r="H12" i="36"/>
  <c r="H9" i="36"/>
  <c r="H8" i="36"/>
  <c r="H7" i="36"/>
  <c r="H6" i="36"/>
  <c r="H5" i="36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7" i="32"/>
  <c r="H6" i="32"/>
  <c r="H5" i="32"/>
  <c r="H17" i="35"/>
  <c r="H16" i="35"/>
  <c r="H11" i="35"/>
  <c r="H8" i="35"/>
  <c r="H7" i="35"/>
  <c r="H6" i="35"/>
  <c r="H5" i="35"/>
  <c r="H14" i="34"/>
  <c r="H13" i="34"/>
  <c r="H8" i="34"/>
  <c r="H5" i="34"/>
  <c r="H20" i="33"/>
  <c r="H19" i="33"/>
  <c r="H14" i="33"/>
  <c r="H13" i="33"/>
  <c r="H12" i="33"/>
  <c r="H9" i="33"/>
  <c r="H7" i="33"/>
  <c r="H6" i="33"/>
  <c r="H5" i="33"/>
  <c r="H17" i="30"/>
  <c r="H9" i="30"/>
  <c r="H8" i="30"/>
  <c r="H7" i="30"/>
  <c r="H5" i="30"/>
  <c r="H11" i="29"/>
  <c r="H8" i="29"/>
  <c r="H5" i="29"/>
  <c r="H13" i="28"/>
  <c r="H8" i="28"/>
  <c r="H5" i="28"/>
  <c r="H11" i="27"/>
  <c r="H8" i="27"/>
  <c r="H5" i="27"/>
  <c r="H10" i="19"/>
  <c r="H5" i="19"/>
  <c r="H12" i="26"/>
  <c r="H29" i="48" s="1"/>
  <c r="H7" i="26"/>
  <c r="H5" i="26"/>
  <c r="B3" i="45" l="1"/>
  <c r="B3" i="44"/>
  <c r="B3" i="43"/>
  <c r="B3" i="41"/>
  <c r="B3" i="42"/>
  <c r="B3" i="40"/>
  <c r="B3" i="39"/>
  <c r="B3" i="38"/>
  <c r="B3" i="37"/>
  <c r="B3" i="36"/>
  <c r="B3" i="32"/>
  <c r="B3" i="35"/>
  <c r="B3" i="34"/>
  <c r="B3" i="33"/>
  <c r="B3" i="30"/>
  <c r="B3" i="29"/>
  <c r="B3" i="28"/>
  <c r="B3" i="27"/>
  <c r="B3" i="19"/>
  <c r="B3" i="26"/>
  <c r="I14" i="46" l="1"/>
  <c r="G14" i="46"/>
  <c r="I41" i="45"/>
  <c r="G41" i="45"/>
  <c r="H41" i="45"/>
  <c r="I38" i="45"/>
  <c r="G38" i="45"/>
  <c r="I20" i="45"/>
  <c r="H20" i="45"/>
  <c r="G20" i="45"/>
  <c r="I17" i="45"/>
  <c r="G17" i="45"/>
  <c r="H17" i="45"/>
  <c r="G14" i="45"/>
  <c r="I10" i="45"/>
  <c r="I14" i="45" s="1"/>
  <c r="G10" i="45"/>
  <c r="H10" i="45"/>
  <c r="H14" i="45" s="1"/>
  <c r="I27" i="44"/>
  <c r="I47" i="48" s="1"/>
  <c r="I21" i="44"/>
  <c r="I14" i="44"/>
  <c r="I23" i="44" s="1"/>
  <c r="G27" i="44"/>
  <c r="G47" i="48" s="1"/>
  <c r="G21" i="44"/>
  <c r="G14" i="44"/>
  <c r="I20" i="43"/>
  <c r="I46" i="48" s="1"/>
  <c r="H20" i="43"/>
  <c r="H46" i="48" s="1"/>
  <c r="G20" i="43"/>
  <c r="G46" i="48" s="1"/>
  <c r="I8" i="43"/>
  <c r="I15" i="43" s="1"/>
  <c r="I22" i="48" s="1"/>
  <c r="H8" i="43"/>
  <c r="G8" i="43"/>
  <c r="I8" i="41"/>
  <c r="I12" i="41" s="1"/>
  <c r="H8" i="41"/>
  <c r="H12" i="41" s="1"/>
  <c r="G8" i="41"/>
  <c r="G12" i="41" s="1"/>
  <c r="H14" i="41"/>
  <c r="H45" i="48" s="1"/>
  <c r="I12" i="42"/>
  <c r="I20" i="48" s="1"/>
  <c r="G12" i="42"/>
  <c r="G20" i="48" s="1"/>
  <c r="I8" i="42"/>
  <c r="H8" i="42"/>
  <c r="H12" i="42" s="1"/>
  <c r="G8" i="42"/>
  <c r="H14" i="42"/>
  <c r="H44" i="48" s="1"/>
  <c r="I13" i="40"/>
  <c r="I19" i="48" s="1"/>
  <c r="H15" i="40"/>
  <c r="H43" i="48" s="1"/>
  <c r="I9" i="40"/>
  <c r="H9" i="40"/>
  <c r="H13" i="40" s="1"/>
  <c r="H19" i="48" s="1"/>
  <c r="G9" i="40"/>
  <c r="G13" i="40" s="1"/>
  <c r="H13" i="39"/>
  <c r="H42" i="48" s="1"/>
  <c r="I7" i="39"/>
  <c r="I11" i="39" s="1"/>
  <c r="H7" i="39"/>
  <c r="G7" i="39"/>
  <c r="I8" i="38"/>
  <c r="I12" i="38" s="1"/>
  <c r="H8" i="38"/>
  <c r="H12" i="38" s="1"/>
  <c r="G8" i="38"/>
  <c r="G12" i="38" s="1"/>
  <c r="I16" i="37"/>
  <c r="I40" i="48" s="1"/>
  <c r="H16" i="37"/>
  <c r="H40" i="48" s="1"/>
  <c r="G16" i="37"/>
  <c r="G40" i="48" s="1"/>
  <c r="I12" i="37"/>
  <c r="I8" i="37"/>
  <c r="H8" i="37"/>
  <c r="G8" i="37"/>
  <c r="I17" i="36"/>
  <c r="H17" i="36"/>
  <c r="H39" i="48" s="1"/>
  <c r="G17" i="36"/>
  <c r="G39" i="48" s="1"/>
  <c r="G14" i="36"/>
  <c r="G15" i="48" s="1"/>
  <c r="I10" i="36"/>
  <c r="I14" i="36" s="1"/>
  <c r="I15" i="48" s="1"/>
  <c r="H10" i="36"/>
  <c r="H14" i="36" s="1"/>
  <c r="H15" i="48" s="1"/>
  <c r="G10" i="36"/>
  <c r="H31" i="32"/>
  <c r="H38" i="48" s="1"/>
  <c r="I18" i="35"/>
  <c r="H18" i="35"/>
  <c r="H37" i="48" s="1"/>
  <c r="G18" i="35"/>
  <c r="G37" i="48" s="1"/>
  <c r="I12" i="35"/>
  <c r="I14" i="35" s="1"/>
  <c r="I13" i="48" s="1"/>
  <c r="H12" i="35"/>
  <c r="G12" i="35"/>
  <c r="G14" i="35" s="1"/>
  <c r="G13" i="48" s="1"/>
  <c r="I9" i="35"/>
  <c r="H9" i="35"/>
  <c r="G9" i="35"/>
  <c r="I15" i="34"/>
  <c r="H15" i="34"/>
  <c r="H36" i="48" s="1"/>
  <c r="G15" i="34"/>
  <c r="G36" i="48" s="1"/>
  <c r="I9" i="34"/>
  <c r="H9" i="34"/>
  <c r="G9" i="34"/>
  <c r="I6" i="34"/>
  <c r="H6" i="34"/>
  <c r="G6" i="34"/>
  <c r="I21" i="33"/>
  <c r="I35" i="48" s="1"/>
  <c r="H21" i="33"/>
  <c r="H35" i="48" s="1"/>
  <c r="G21" i="33"/>
  <c r="G35" i="48" s="1"/>
  <c r="I15" i="33"/>
  <c r="I17" i="33" s="1"/>
  <c r="I11" i="48" s="1"/>
  <c r="H15" i="33"/>
  <c r="G15" i="33"/>
  <c r="G17" i="33" s="1"/>
  <c r="G11" i="48" s="1"/>
  <c r="I10" i="33"/>
  <c r="H10" i="33"/>
  <c r="G10" i="33"/>
  <c r="I18" i="30"/>
  <c r="I34" i="48" s="1"/>
  <c r="H18" i="30"/>
  <c r="H34" i="48" s="1"/>
  <c r="G18" i="30"/>
  <c r="G34" i="48" s="1"/>
  <c r="I13" i="30"/>
  <c r="I15" i="30" s="1"/>
  <c r="I10" i="48" s="1"/>
  <c r="I9" i="29"/>
  <c r="I6" i="29"/>
  <c r="G9" i="29"/>
  <c r="G6" i="29"/>
  <c r="H15" i="29"/>
  <c r="H33" i="48" s="1"/>
  <c r="I14" i="28"/>
  <c r="I32" i="48" s="1"/>
  <c r="I9" i="28"/>
  <c r="I6" i="28"/>
  <c r="G14" i="28"/>
  <c r="G32" i="48" s="1"/>
  <c r="G9" i="28"/>
  <c r="G6" i="28"/>
  <c r="G11" i="28" s="1"/>
  <c r="I13" i="27"/>
  <c r="G13" i="27"/>
  <c r="I9" i="27"/>
  <c r="H9" i="27"/>
  <c r="G9" i="27"/>
  <c r="H15" i="27"/>
  <c r="H31" i="48" s="1"/>
  <c r="I11" i="19"/>
  <c r="H11" i="19"/>
  <c r="H30" i="48" s="1"/>
  <c r="G11" i="19"/>
  <c r="I6" i="19"/>
  <c r="I8" i="19" s="1"/>
  <c r="I6" i="48" s="1"/>
  <c r="H6" i="19"/>
  <c r="H8" i="19" s="1"/>
  <c r="H6" i="48" s="1"/>
  <c r="G6" i="19"/>
  <c r="G8" i="19" s="1"/>
  <c r="G6" i="48" s="1"/>
  <c r="I8" i="26"/>
  <c r="I10" i="26" s="1"/>
  <c r="H8" i="26"/>
  <c r="H10" i="26" s="1"/>
  <c r="G8" i="26"/>
  <c r="G10" i="26" s="1"/>
  <c r="G14" i="26" l="1"/>
  <c r="G5" i="46" s="1"/>
  <c r="G5" i="48"/>
  <c r="I15" i="39"/>
  <c r="I18" i="46" s="1"/>
  <c r="I18" i="48"/>
  <c r="I16" i="41"/>
  <c r="I21" i="46" s="1"/>
  <c r="I21" i="48"/>
  <c r="I16" i="38"/>
  <c r="I17" i="46" s="1"/>
  <c r="I17" i="48"/>
  <c r="G16" i="28"/>
  <c r="G8" i="46" s="1"/>
  <c r="G8" i="48"/>
  <c r="H14" i="26"/>
  <c r="H5" i="48"/>
  <c r="I13" i="19"/>
  <c r="I6" i="46" s="1"/>
  <c r="I30" i="48"/>
  <c r="I13" i="29"/>
  <c r="H14" i="35"/>
  <c r="H13" i="48" s="1"/>
  <c r="I17" i="40"/>
  <c r="I19" i="46" s="1"/>
  <c r="G16" i="42"/>
  <c r="G20" i="46" s="1"/>
  <c r="G22" i="48"/>
  <c r="G15" i="43"/>
  <c r="I19" i="36"/>
  <c r="I15" i="46" s="1"/>
  <c r="I39" i="48"/>
  <c r="I18" i="37"/>
  <c r="I16" i="46" s="1"/>
  <c r="I16" i="48"/>
  <c r="I16" i="42"/>
  <c r="I20" i="46" s="1"/>
  <c r="H15" i="43"/>
  <c r="H22" i="48" s="1"/>
  <c r="I29" i="44"/>
  <c r="I23" i="46" s="1"/>
  <c r="I23" i="48"/>
  <c r="I14" i="26"/>
  <c r="I5" i="46" s="1"/>
  <c r="I5" i="48"/>
  <c r="G13" i="19"/>
  <c r="G6" i="46" s="1"/>
  <c r="G30" i="48"/>
  <c r="G50" i="48" s="1"/>
  <c r="I17" i="27"/>
  <c r="I7" i="46" s="1"/>
  <c r="I7" i="48"/>
  <c r="I11" i="28"/>
  <c r="G13" i="29"/>
  <c r="G23" i="44"/>
  <c r="I47" i="45"/>
  <c r="I24" i="48" s="1"/>
  <c r="I36" i="48"/>
  <c r="H11" i="34"/>
  <c r="H12" i="48" s="1"/>
  <c r="G11" i="34"/>
  <c r="G12" i="48" s="1"/>
  <c r="I11" i="34"/>
  <c r="I12" i="48" s="1"/>
  <c r="G16" i="41"/>
  <c r="G21" i="46" s="1"/>
  <c r="G21" i="48"/>
  <c r="H16" i="42"/>
  <c r="H20" i="48"/>
  <c r="G17" i="40"/>
  <c r="G19" i="46" s="1"/>
  <c r="G19" i="48"/>
  <c r="G16" i="38"/>
  <c r="G17" i="46" s="1"/>
  <c r="G17" i="48"/>
  <c r="G17" i="27"/>
  <c r="G7" i="46" s="1"/>
  <c r="G7" i="48"/>
  <c r="I20" i="35"/>
  <c r="I13" i="46" s="1"/>
  <c r="I37" i="48"/>
  <c r="I50" i="48" s="1"/>
  <c r="H16" i="41"/>
  <c r="H21" i="48"/>
  <c r="H16" i="38"/>
  <c r="H17" i="48"/>
  <c r="H17" i="40"/>
  <c r="H17" i="33"/>
  <c r="H11" i="48" s="1"/>
  <c r="I22" i="43"/>
  <c r="I22" i="46" s="1"/>
  <c r="G22" i="43"/>
  <c r="G22" i="46" s="1"/>
  <c r="G19" i="36"/>
  <c r="G15" i="46" s="1"/>
  <c r="G20" i="35"/>
  <c r="G13" i="46" s="1"/>
  <c r="G23" i="33"/>
  <c r="G11" i="46" s="1"/>
  <c r="I23" i="33"/>
  <c r="I11" i="46" s="1"/>
  <c r="I20" i="30"/>
  <c r="I10" i="46" s="1"/>
  <c r="H22" i="43"/>
  <c r="H19" i="36"/>
  <c r="H20" i="35"/>
  <c r="H17" i="34"/>
  <c r="H13" i="19"/>
  <c r="G47" i="45"/>
  <c r="G24" i="48" s="1"/>
  <c r="I52" i="45"/>
  <c r="I24" i="46" s="1"/>
  <c r="H38" i="45"/>
  <c r="H47" i="45" s="1"/>
  <c r="K7" i="36"/>
  <c r="L7" i="36" s="1"/>
  <c r="M7" i="36" s="1"/>
  <c r="K7" i="35"/>
  <c r="L7" i="35" s="1"/>
  <c r="M7" i="35" s="1"/>
  <c r="G52" i="45" l="1"/>
  <c r="G24" i="46" s="1"/>
  <c r="I16" i="28"/>
  <c r="I8" i="46" s="1"/>
  <c r="I8" i="48"/>
  <c r="I26" i="48" s="1"/>
  <c r="I17" i="29"/>
  <c r="I9" i="46" s="1"/>
  <c r="I9" i="48"/>
  <c r="G17" i="34"/>
  <c r="G12" i="46" s="1"/>
  <c r="G29" i="44"/>
  <c r="G23" i="46" s="1"/>
  <c r="G23" i="48"/>
  <c r="G17" i="29"/>
  <c r="G9" i="46" s="1"/>
  <c r="G9" i="48"/>
  <c r="I52" i="48"/>
  <c r="I17" i="34"/>
  <c r="I12" i="46" s="1"/>
  <c r="I26" i="46" s="1"/>
  <c r="H52" i="45"/>
  <c r="H24" i="48"/>
  <c r="H23" i="33"/>
  <c r="K7" i="43"/>
  <c r="L7" i="43" s="1"/>
  <c r="M7" i="43" s="1"/>
  <c r="K6" i="43"/>
  <c r="L6" i="43" s="1"/>
  <c r="M6" i="43" s="1"/>
  <c r="K5" i="43"/>
  <c r="L5" i="43" s="1"/>
  <c r="M5" i="43" s="1"/>
  <c r="L10" i="41"/>
  <c r="M10" i="41" s="1"/>
  <c r="K7" i="41"/>
  <c r="L7" i="41" s="1"/>
  <c r="M7" i="41" s="1"/>
  <c r="K6" i="41"/>
  <c r="L6" i="41" s="1"/>
  <c r="M6" i="41" s="1"/>
  <c r="K5" i="41"/>
  <c r="L5" i="41" s="1"/>
  <c r="M5" i="41" s="1"/>
  <c r="L10" i="42"/>
  <c r="M10" i="42" s="1"/>
  <c r="L11" i="40"/>
  <c r="M11" i="40" s="1"/>
  <c r="K7" i="40"/>
  <c r="L7" i="40" s="1"/>
  <c r="M7" i="40" s="1"/>
  <c r="L6" i="40"/>
  <c r="M6" i="40" s="1"/>
  <c r="K6" i="40"/>
  <c r="L5" i="40"/>
  <c r="M5" i="40" s="1"/>
  <c r="K5" i="40"/>
  <c r="K5" i="39"/>
  <c r="L5" i="39" s="1"/>
  <c r="M5" i="39" s="1"/>
  <c r="L10" i="38"/>
  <c r="M10" i="38" s="1"/>
  <c r="K6" i="38"/>
  <c r="L6" i="38" s="1"/>
  <c r="M6" i="38" s="1"/>
  <c r="K5" i="38"/>
  <c r="L5" i="38" s="1"/>
  <c r="M5" i="38" s="1"/>
  <c r="L10" i="37"/>
  <c r="M10" i="37" s="1"/>
  <c r="K7" i="37"/>
  <c r="L7" i="37" s="1"/>
  <c r="M7" i="37" s="1"/>
  <c r="K6" i="37"/>
  <c r="L6" i="37" s="1"/>
  <c r="M6" i="37" s="1"/>
  <c r="K5" i="37"/>
  <c r="L5" i="37" s="1"/>
  <c r="M5" i="37" s="1"/>
  <c r="L12" i="36"/>
  <c r="M12" i="36" s="1"/>
  <c r="K9" i="36"/>
  <c r="L9" i="36" s="1"/>
  <c r="M9" i="36" s="1"/>
  <c r="K8" i="36"/>
  <c r="L8" i="36" s="1"/>
  <c r="M8" i="36" s="1"/>
  <c r="L6" i="36"/>
  <c r="M6" i="36" s="1"/>
  <c r="K6" i="36"/>
  <c r="K5" i="36"/>
  <c r="L5" i="36" s="1"/>
  <c r="M5" i="36" s="1"/>
  <c r="L26" i="32"/>
  <c r="M26" i="32" s="1"/>
  <c r="L25" i="32"/>
  <c r="M25" i="32" s="1"/>
  <c r="L24" i="32"/>
  <c r="M24" i="32" s="1"/>
  <c r="L23" i="32"/>
  <c r="M23" i="32" s="1"/>
  <c r="L22" i="32"/>
  <c r="M22" i="32" s="1"/>
  <c r="L21" i="32"/>
  <c r="M21" i="32" s="1"/>
  <c r="L20" i="32"/>
  <c r="M20" i="32" s="1"/>
  <c r="L19" i="32"/>
  <c r="M19" i="32" s="1"/>
  <c r="L18" i="32"/>
  <c r="M18" i="32" s="1"/>
  <c r="L17" i="32"/>
  <c r="M17" i="32" s="1"/>
  <c r="L16" i="32"/>
  <c r="M16" i="32" s="1"/>
  <c r="L15" i="32"/>
  <c r="M15" i="32" s="1"/>
  <c r="L14" i="32"/>
  <c r="M14" i="32" s="1"/>
  <c r="L13" i="32"/>
  <c r="M13" i="32" s="1"/>
  <c r="L12" i="32"/>
  <c r="M12" i="32" s="1"/>
  <c r="L11" i="32"/>
  <c r="M11" i="32" s="1"/>
  <c r="L10" i="32"/>
  <c r="M10" i="32" s="1"/>
  <c r="K5" i="32"/>
  <c r="L5" i="32" s="1"/>
  <c r="M5" i="32" s="1"/>
  <c r="L11" i="35"/>
  <c r="M11" i="35" s="1"/>
  <c r="K6" i="35"/>
  <c r="L6" i="35" s="1"/>
  <c r="M6" i="35" s="1"/>
  <c r="K5" i="35"/>
  <c r="L5" i="35" s="1"/>
  <c r="M5" i="35" s="1"/>
  <c r="K5" i="34"/>
  <c r="L5" i="34" s="1"/>
  <c r="M5" i="34" s="1"/>
  <c r="L8" i="34"/>
  <c r="M8" i="34" s="1"/>
  <c r="L14" i="33"/>
  <c r="M14" i="33" s="1"/>
  <c r="L13" i="33"/>
  <c r="M13" i="33" s="1"/>
  <c r="L12" i="33"/>
  <c r="M12" i="33" s="1"/>
  <c r="K6" i="33"/>
  <c r="L6" i="33" s="1"/>
  <c r="M6" i="33" s="1"/>
  <c r="K5" i="33"/>
  <c r="L5" i="33" s="1"/>
  <c r="M5" i="33" s="1"/>
  <c r="L12" i="30"/>
  <c r="M12" i="30" s="1"/>
  <c r="L11" i="30"/>
  <c r="M11" i="30" s="1"/>
  <c r="L10" i="30"/>
  <c r="M10" i="30" s="1"/>
  <c r="L9" i="30"/>
  <c r="M9" i="30" s="1"/>
  <c r="L8" i="30"/>
  <c r="M8" i="30" s="1"/>
  <c r="L7" i="30"/>
  <c r="M7" i="30" s="1"/>
  <c r="L11" i="27"/>
  <c r="M11" i="27" s="1"/>
  <c r="M27" i="32" l="1"/>
  <c r="L27" i="32"/>
  <c r="K27" i="32"/>
  <c r="J27" i="32"/>
  <c r="F27" i="32"/>
  <c r="E27" i="32"/>
  <c r="D27" i="32"/>
  <c r="C27" i="32"/>
  <c r="M41" i="45"/>
  <c r="L41" i="45"/>
  <c r="K41" i="45"/>
  <c r="J41" i="45"/>
  <c r="F41" i="45"/>
  <c r="E41" i="45"/>
  <c r="D41" i="45"/>
  <c r="C41" i="45"/>
  <c r="M38" i="45"/>
  <c r="L38" i="45"/>
  <c r="K38" i="45"/>
  <c r="J38" i="45"/>
  <c r="F38" i="45"/>
  <c r="E38" i="45"/>
  <c r="D38" i="45"/>
  <c r="C38" i="45"/>
  <c r="M20" i="45"/>
  <c r="L20" i="45"/>
  <c r="K20" i="45"/>
  <c r="J20" i="45"/>
  <c r="F20" i="45"/>
  <c r="E20" i="45"/>
  <c r="D20" i="45"/>
  <c r="C20" i="45"/>
  <c r="M17" i="45"/>
  <c r="L17" i="45"/>
  <c r="K17" i="45"/>
  <c r="J17" i="45"/>
  <c r="F17" i="45"/>
  <c r="E17" i="45"/>
  <c r="D17" i="45"/>
  <c r="C17" i="45"/>
  <c r="M10" i="45"/>
  <c r="M12" i="45" s="1"/>
  <c r="L10" i="45"/>
  <c r="L12" i="45" s="1"/>
  <c r="K10" i="45"/>
  <c r="K12" i="45" s="1"/>
  <c r="J10" i="45"/>
  <c r="F10" i="45"/>
  <c r="F14" i="45" s="1"/>
  <c r="E10" i="45"/>
  <c r="E14" i="45" s="1"/>
  <c r="D10" i="45"/>
  <c r="D14" i="45" s="1"/>
  <c r="C10" i="45"/>
  <c r="C14" i="45" s="1"/>
  <c r="M27" i="44"/>
  <c r="M47" i="48" s="1"/>
  <c r="L27" i="44"/>
  <c r="L47" i="48" s="1"/>
  <c r="K27" i="44"/>
  <c r="K47" i="48" s="1"/>
  <c r="J27" i="44"/>
  <c r="J47" i="48" s="1"/>
  <c r="H27" i="44"/>
  <c r="H47" i="48" s="1"/>
  <c r="F27" i="44"/>
  <c r="F47" i="48" s="1"/>
  <c r="E27" i="44"/>
  <c r="E47" i="48" s="1"/>
  <c r="D27" i="44"/>
  <c r="D47" i="48" s="1"/>
  <c r="C27" i="44"/>
  <c r="C47" i="48" s="1"/>
  <c r="M21" i="44"/>
  <c r="L21" i="44"/>
  <c r="K21" i="44"/>
  <c r="J21" i="44"/>
  <c r="H21" i="44"/>
  <c r="F21" i="44"/>
  <c r="E21" i="44"/>
  <c r="D21" i="44"/>
  <c r="C21" i="44"/>
  <c r="M14" i="44"/>
  <c r="M23" i="44" s="1"/>
  <c r="L14" i="44"/>
  <c r="K14" i="44"/>
  <c r="F14" i="44"/>
  <c r="E14" i="44"/>
  <c r="D14" i="44"/>
  <c r="D23" i="44" s="1"/>
  <c r="C14" i="44"/>
  <c r="C23" i="44" s="1"/>
  <c r="J8" i="44"/>
  <c r="J14" i="44" s="1"/>
  <c r="J23" i="44" s="1"/>
  <c r="J23" i="48" s="1"/>
  <c r="M20" i="43"/>
  <c r="M46" i="48" s="1"/>
  <c r="L20" i="43"/>
  <c r="L46" i="48" s="1"/>
  <c r="K20" i="43"/>
  <c r="K46" i="48" s="1"/>
  <c r="J20" i="43"/>
  <c r="J46" i="48" s="1"/>
  <c r="F20" i="43"/>
  <c r="F46" i="48" s="1"/>
  <c r="E20" i="43"/>
  <c r="E46" i="48" s="1"/>
  <c r="D20" i="43"/>
  <c r="D46" i="48" s="1"/>
  <c r="C20" i="43"/>
  <c r="C46" i="48" s="1"/>
  <c r="M8" i="43"/>
  <c r="L8" i="43"/>
  <c r="L15" i="43" s="1"/>
  <c r="K8" i="43"/>
  <c r="K15" i="43" s="1"/>
  <c r="J8" i="43"/>
  <c r="J15" i="43" s="1"/>
  <c r="J22" i="48" s="1"/>
  <c r="F8" i="43"/>
  <c r="F15" i="43" s="1"/>
  <c r="E8" i="43"/>
  <c r="E15" i="43" s="1"/>
  <c r="E22" i="48" s="1"/>
  <c r="D8" i="43"/>
  <c r="C8" i="43"/>
  <c r="C15" i="43" s="1"/>
  <c r="C22" i="48" s="1"/>
  <c r="M8" i="41"/>
  <c r="M12" i="41" s="1"/>
  <c r="L8" i="41"/>
  <c r="L12" i="41" s="1"/>
  <c r="K8" i="41"/>
  <c r="K12" i="41" s="1"/>
  <c r="J8" i="41"/>
  <c r="J12" i="41" s="1"/>
  <c r="F8" i="41"/>
  <c r="F12" i="41" s="1"/>
  <c r="E8" i="41"/>
  <c r="E12" i="41" s="1"/>
  <c r="D8" i="41"/>
  <c r="D12" i="41" s="1"/>
  <c r="C8" i="41"/>
  <c r="C12" i="41" s="1"/>
  <c r="M8" i="42"/>
  <c r="M12" i="42" s="1"/>
  <c r="L8" i="42"/>
  <c r="L12" i="42" s="1"/>
  <c r="K8" i="42"/>
  <c r="K12" i="42" s="1"/>
  <c r="J8" i="42"/>
  <c r="J12" i="42" s="1"/>
  <c r="F8" i="42"/>
  <c r="F12" i="42" s="1"/>
  <c r="E8" i="42"/>
  <c r="E12" i="42" s="1"/>
  <c r="D8" i="42"/>
  <c r="D12" i="42" s="1"/>
  <c r="C8" i="42"/>
  <c r="C12" i="42" s="1"/>
  <c r="M9" i="40"/>
  <c r="M13" i="40" s="1"/>
  <c r="L9" i="40"/>
  <c r="L13" i="40" s="1"/>
  <c r="K9" i="40"/>
  <c r="K13" i="40" s="1"/>
  <c r="J9" i="40"/>
  <c r="J13" i="40" s="1"/>
  <c r="F9" i="40"/>
  <c r="F13" i="40" s="1"/>
  <c r="E9" i="40"/>
  <c r="E13" i="40" s="1"/>
  <c r="D9" i="40"/>
  <c r="D13" i="40" s="1"/>
  <c r="C9" i="40"/>
  <c r="C13" i="40" s="1"/>
  <c r="J13" i="39"/>
  <c r="J42" i="48" s="1"/>
  <c r="M7" i="39"/>
  <c r="L7" i="39"/>
  <c r="K7" i="39"/>
  <c r="J7" i="39"/>
  <c r="F7" i="39"/>
  <c r="E7" i="39"/>
  <c r="E11" i="39" s="1"/>
  <c r="D7" i="39"/>
  <c r="C7" i="39"/>
  <c r="C11" i="39" s="1"/>
  <c r="M8" i="38"/>
  <c r="M12" i="38" s="1"/>
  <c r="L8" i="38"/>
  <c r="L12" i="38" s="1"/>
  <c r="K8" i="38"/>
  <c r="K12" i="38" s="1"/>
  <c r="J8" i="38"/>
  <c r="J12" i="38" s="1"/>
  <c r="F8" i="38"/>
  <c r="F12" i="38" s="1"/>
  <c r="E8" i="38"/>
  <c r="E12" i="38" s="1"/>
  <c r="D8" i="38"/>
  <c r="D12" i="38" s="1"/>
  <c r="C8" i="38"/>
  <c r="C12" i="38" s="1"/>
  <c r="M16" i="37"/>
  <c r="M40" i="48" s="1"/>
  <c r="L16" i="37"/>
  <c r="L40" i="48" s="1"/>
  <c r="K16" i="37"/>
  <c r="K40" i="48" s="1"/>
  <c r="J16" i="37"/>
  <c r="F16" i="37"/>
  <c r="F40" i="48" s="1"/>
  <c r="E16" i="37"/>
  <c r="E40" i="48" s="1"/>
  <c r="D16" i="37"/>
  <c r="D40" i="48" s="1"/>
  <c r="C16" i="37"/>
  <c r="C40" i="48" s="1"/>
  <c r="M8" i="37"/>
  <c r="M12" i="37" s="1"/>
  <c r="L8" i="37"/>
  <c r="L12" i="37" s="1"/>
  <c r="K8" i="37"/>
  <c r="K12" i="37" s="1"/>
  <c r="J8" i="37"/>
  <c r="J12" i="37" s="1"/>
  <c r="J16" i="48" s="1"/>
  <c r="F8" i="37"/>
  <c r="E8" i="37"/>
  <c r="E12" i="37" s="1"/>
  <c r="E16" i="48" s="1"/>
  <c r="D8" i="37"/>
  <c r="C8" i="37"/>
  <c r="C12" i="37" s="1"/>
  <c r="M17" i="36"/>
  <c r="M39" i="48" s="1"/>
  <c r="L17" i="36"/>
  <c r="L39" i="48" s="1"/>
  <c r="K17" i="36"/>
  <c r="K39" i="48" s="1"/>
  <c r="J17" i="36"/>
  <c r="J39" i="48" s="1"/>
  <c r="F17" i="36"/>
  <c r="F39" i="48" s="1"/>
  <c r="E17" i="36"/>
  <c r="E39" i="48" s="1"/>
  <c r="D17" i="36"/>
  <c r="D39" i="48" s="1"/>
  <c r="C17" i="36"/>
  <c r="C39" i="48" s="1"/>
  <c r="M10" i="36"/>
  <c r="M14" i="36" s="1"/>
  <c r="L10" i="36"/>
  <c r="L14" i="36" s="1"/>
  <c r="K10" i="36"/>
  <c r="K14" i="36" s="1"/>
  <c r="J10" i="36"/>
  <c r="J14" i="36" s="1"/>
  <c r="F10" i="36"/>
  <c r="F14" i="36" s="1"/>
  <c r="F15" i="48" s="1"/>
  <c r="E10" i="36"/>
  <c r="E14" i="36" s="1"/>
  <c r="E15" i="48" s="1"/>
  <c r="D10" i="36"/>
  <c r="D14" i="36" s="1"/>
  <c r="D15" i="48" s="1"/>
  <c r="C10" i="36"/>
  <c r="C14" i="36" s="1"/>
  <c r="M8" i="32"/>
  <c r="M29" i="32" s="1"/>
  <c r="L8" i="32"/>
  <c r="L29" i="32" s="1"/>
  <c r="K8" i="32"/>
  <c r="J8" i="32"/>
  <c r="J29" i="32" s="1"/>
  <c r="H8" i="32"/>
  <c r="F8" i="32"/>
  <c r="E8" i="32"/>
  <c r="E29" i="32" s="1"/>
  <c r="D8" i="32"/>
  <c r="C8" i="32"/>
  <c r="C29" i="32" s="1"/>
  <c r="M18" i="35"/>
  <c r="M37" i="48" s="1"/>
  <c r="L18" i="35"/>
  <c r="L37" i="48" s="1"/>
  <c r="K18" i="35"/>
  <c r="K37" i="48" s="1"/>
  <c r="J18" i="35"/>
  <c r="J37" i="48" s="1"/>
  <c r="F18" i="35"/>
  <c r="F37" i="48" s="1"/>
  <c r="E18" i="35"/>
  <c r="E37" i="48" s="1"/>
  <c r="D18" i="35"/>
  <c r="D37" i="48" s="1"/>
  <c r="C18" i="35"/>
  <c r="C37" i="48" s="1"/>
  <c r="M12" i="35"/>
  <c r="L12" i="35"/>
  <c r="K12" i="35"/>
  <c r="J12" i="35"/>
  <c r="F12" i="35"/>
  <c r="E12" i="35"/>
  <c r="D12" i="35"/>
  <c r="C12" i="35"/>
  <c r="M9" i="35"/>
  <c r="L9" i="35"/>
  <c r="K9" i="35"/>
  <c r="J9" i="35"/>
  <c r="J14" i="35" s="1"/>
  <c r="F9" i="35"/>
  <c r="E9" i="35"/>
  <c r="D9" i="35"/>
  <c r="C9" i="35"/>
  <c r="M15" i="34"/>
  <c r="M36" i="48" s="1"/>
  <c r="L15" i="34"/>
  <c r="L36" i="48" s="1"/>
  <c r="K15" i="34"/>
  <c r="K36" i="48" s="1"/>
  <c r="J15" i="34"/>
  <c r="J36" i="48" s="1"/>
  <c r="F15" i="34"/>
  <c r="F36" i="48" s="1"/>
  <c r="E15" i="34"/>
  <c r="E36" i="48" s="1"/>
  <c r="D15" i="34"/>
  <c r="D36" i="48" s="1"/>
  <c r="C15" i="34"/>
  <c r="C36" i="48" s="1"/>
  <c r="M9" i="34"/>
  <c r="L9" i="34"/>
  <c r="K9" i="34"/>
  <c r="J9" i="34"/>
  <c r="F9" i="34"/>
  <c r="E9" i="34"/>
  <c r="D9" i="34"/>
  <c r="C9" i="34"/>
  <c r="M6" i="34"/>
  <c r="L6" i="34"/>
  <c r="K6" i="34"/>
  <c r="J6" i="34"/>
  <c r="J11" i="34" s="1"/>
  <c r="F6" i="34"/>
  <c r="E6" i="34"/>
  <c r="D6" i="34"/>
  <c r="C6" i="34"/>
  <c r="M21" i="33"/>
  <c r="M35" i="48" s="1"/>
  <c r="L21" i="33"/>
  <c r="L35" i="48" s="1"/>
  <c r="K21" i="33"/>
  <c r="K35" i="48" s="1"/>
  <c r="J21" i="33"/>
  <c r="J35" i="48" s="1"/>
  <c r="F21" i="33"/>
  <c r="F35" i="48" s="1"/>
  <c r="E21" i="33"/>
  <c r="E35" i="48" s="1"/>
  <c r="D21" i="33"/>
  <c r="D35" i="48" s="1"/>
  <c r="C21" i="33"/>
  <c r="C35" i="48" s="1"/>
  <c r="M15" i="33"/>
  <c r="L15" i="33"/>
  <c r="K15" i="33"/>
  <c r="J15" i="33"/>
  <c r="F15" i="33"/>
  <c r="E15" i="33"/>
  <c r="D15" i="33"/>
  <c r="C15" i="33"/>
  <c r="M10" i="33"/>
  <c r="L10" i="33"/>
  <c r="K10" i="33"/>
  <c r="J10" i="33"/>
  <c r="J17" i="33" s="1"/>
  <c r="F10" i="33"/>
  <c r="E10" i="33"/>
  <c r="D10" i="33"/>
  <c r="C10" i="33"/>
  <c r="F18" i="30"/>
  <c r="F34" i="48" s="1"/>
  <c r="E18" i="30"/>
  <c r="E34" i="48" s="1"/>
  <c r="D18" i="30"/>
  <c r="D34" i="48" s="1"/>
  <c r="C18" i="30"/>
  <c r="C34" i="48" s="1"/>
  <c r="M17" i="30"/>
  <c r="M18" i="30" s="1"/>
  <c r="M34" i="48" s="1"/>
  <c r="L17" i="30"/>
  <c r="L18" i="30" s="1"/>
  <c r="L34" i="48" s="1"/>
  <c r="K17" i="30"/>
  <c r="K18" i="30" s="1"/>
  <c r="K34" i="48" s="1"/>
  <c r="J17" i="30"/>
  <c r="J18" i="30" s="1"/>
  <c r="J34" i="48" s="1"/>
  <c r="M13" i="30"/>
  <c r="M15" i="30" s="1"/>
  <c r="L13" i="30"/>
  <c r="L15" i="30" s="1"/>
  <c r="K13" i="30"/>
  <c r="K15" i="30" s="1"/>
  <c r="J13" i="30"/>
  <c r="J15" i="30" s="1"/>
  <c r="E13" i="30"/>
  <c r="E15" i="30" s="1"/>
  <c r="C13" i="30"/>
  <c r="C15" i="30" s="1"/>
  <c r="M9" i="29"/>
  <c r="L9" i="29"/>
  <c r="K9" i="29"/>
  <c r="K13" i="29" s="1"/>
  <c r="J9" i="29"/>
  <c r="F9" i="29"/>
  <c r="E9" i="29"/>
  <c r="D9" i="29"/>
  <c r="C9" i="29"/>
  <c r="H9" i="29"/>
  <c r="M6" i="29"/>
  <c r="L6" i="29"/>
  <c r="K6" i="29"/>
  <c r="J6" i="29"/>
  <c r="J13" i="29" s="1"/>
  <c r="H6" i="29"/>
  <c r="F6" i="29"/>
  <c r="F13" i="29" s="1"/>
  <c r="E6" i="29"/>
  <c r="E13" i="29" s="1"/>
  <c r="D6" i="29"/>
  <c r="D13" i="29" s="1"/>
  <c r="C6" i="29"/>
  <c r="M14" i="28"/>
  <c r="M32" i="48" s="1"/>
  <c r="L14" i="28"/>
  <c r="L32" i="48" s="1"/>
  <c r="K14" i="28"/>
  <c r="K32" i="48" s="1"/>
  <c r="J14" i="28"/>
  <c r="J32" i="48" s="1"/>
  <c r="H14" i="28"/>
  <c r="H32" i="48" s="1"/>
  <c r="H50" i="48" s="1"/>
  <c r="F14" i="28"/>
  <c r="F32" i="48" s="1"/>
  <c r="E14" i="28"/>
  <c r="E32" i="48" s="1"/>
  <c r="D14" i="28"/>
  <c r="D32" i="48" s="1"/>
  <c r="C14" i="28"/>
  <c r="C32" i="48" s="1"/>
  <c r="M9" i="28"/>
  <c r="L9" i="28"/>
  <c r="L11" i="28" s="1"/>
  <c r="K9" i="28"/>
  <c r="J9" i="28"/>
  <c r="F9" i="28"/>
  <c r="E9" i="28"/>
  <c r="D9" i="28"/>
  <c r="C9" i="28"/>
  <c r="H9" i="28"/>
  <c r="M6" i="28"/>
  <c r="M11" i="28" s="1"/>
  <c r="L6" i="28"/>
  <c r="K6" i="28"/>
  <c r="K11" i="28" s="1"/>
  <c r="J6" i="28"/>
  <c r="J11" i="28" s="1"/>
  <c r="H6" i="28"/>
  <c r="F6" i="28"/>
  <c r="F11" i="28" s="1"/>
  <c r="E6" i="28"/>
  <c r="E11" i="28" s="1"/>
  <c r="D6" i="28"/>
  <c r="C6" i="28"/>
  <c r="C11" i="28" s="1"/>
  <c r="K15" i="27"/>
  <c r="M9" i="27"/>
  <c r="L9" i="27"/>
  <c r="K9" i="27"/>
  <c r="J9" i="27"/>
  <c r="F9" i="27"/>
  <c r="E9" i="27"/>
  <c r="D9" i="27"/>
  <c r="C9" i="27"/>
  <c r="M6" i="27"/>
  <c r="L6" i="27"/>
  <c r="L13" i="27" s="1"/>
  <c r="L7" i="48" s="1"/>
  <c r="K6" i="27"/>
  <c r="K13" i="27" s="1"/>
  <c r="K7" i="48" s="1"/>
  <c r="J6" i="27"/>
  <c r="J13" i="27" s="1"/>
  <c r="F6" i="27"/>
  <c r="E6" i="27"/>
  <c r="D6" i="27"/>
  <c r="D13" i="27" s="1"/>
  <c r="C6" i="27"/>
  <c r="H6" i="27"/>
  <c r="M11" i="19"/>
  <c r="M30" i="48" s="1"/>
  <c r="L11" i="19"/>
  <c r="L30" i="48" s="1"/>
  <c r="K11" i="19"/>
  <c r="K30" i="48" s="1"/>
  <c r="J11" i="19"/>
  <c r="J30" i="48" s="1"/>
  <c r="F11" i="19"/>
  <c r="F30" i="48" s="1"/>
  <c r="E11" i="19"/>
  <c r="E30" i="48" s="1"/>
  <c r="D11" i="19"/>
  <c r="D30" i="48" s="1"/>
  <c r="C11" i="19"/>
  <c r="C30" i="48" s="1"/>
  <c r="L8" i="19"/>
  <c r="L6" i="48" s="1"/>
  <c r="J8" i="19"/>
  <c r="J6" i="48" s="1"/>
  <c r="H6" i="46"/>
  <c r="M6" i="19"/>
  <c r="M8" i="19" s="1"/>
  <c r="L6" i="19"/>
  <c r="K6" i="19"/>
  <c r="K8" i="19" s="1"/>
  <c r="J6" i="19"/>
  <c r="F6" i="19"/>
  <c r="F8" i="19" s="1"/>
  <c r="E6" i="19"/>
  <c r="E8" i="19" s="1"/>
  <c r="D6" i="19"/>
  <c r="D8" i="19" s="1"/>
  <c r="C6" i="19"/>
  <c r="C8" i="19" s="1"/>
  <c r="M8" i="26"/>
  <c r="M10" i="26" s="1"/>
  <c r="L8" i="26"/>
  <c r="L10" i="26" s="1"/>
  <c r="K8" i="26"/>
  <c r="K10" i="26" s="1"/>
  <c r="J8" i="26"/>
  <c r="J10" i="26" s="1"/>
  <c r="H5" i="46"/>
  <c r="F8" i="26"/>
  <c r="F10" i="26" s="1"/>
  <c r="E8" i="26"/>
  <c r="E10" i="26" s="1"/>
  <c r="D8" i="26"/>
  <c r="D10" i="26" s="1"/>
  <c r="C8" i="26"/>
  <c r="C10" i="26" s="1"/>
  <c r="B24" i="46"/>
  <c r="B23" i="46"/>
  <c r="B22" i="46"/>
  <c r="B21" i="46"/>
  <c r="B20" i="46"/>
  <c r="B19" i="46"/>
  <c r="B18" i="46"/>
  <c r="B17" i="46"/>
  <c r="B16" i="46"/>
  <c r="B15" i="46"/>
  <c r="B14" i="46"/>
  <c r="B13" i="46"/>
  <c r="B12" i="46"/>
  <c r="B11" i="46"/>
  <c r="B10" i="46"/>
  <c r="B9" i="46"/>
  <c r="B8" i="46"/>
  <c r="B7" i="46"/>
  <c r="B6" i="46"/>
  <c r="B5" i="46"/>
  <c r="M6" i="48" l="1"/>
  <c r="M13" i="19"/>
  <c r="M6" i="46" s="1"/>
  <c r="C6" i="48"/>
  <c r="C13" i="19"/>
  <c r="C6" i="46" s="1"/>
  <c r="J10" i="48"/>
  <c r="J20" i="30"/>
  <c r="J10" i="46" s="1"/>
  <c r="C14" i="48"/>
  <c r="C33" i="32"/>
  <c r="C14" i="46" s="1"/>
  <c r="D6" i="48"/>
  <c r="D13" i="19"/>
  <c r="D6" i="46" s="1"/>
  <c r="C16" i="38"/>
  <c r="C17" i="46" s="1"/>
  <c r="C17" i="48"/>
  <c r="K6" i="48"/>
  <c r="K13" i="19"/>
  <c r="K6" i="46" s="1"/>
  <c r="J17" i="29"/>
  <c r="J9" i="46" s="1"/>
  <c r="J9" i="48"/>
  <c r="F5" i="48"/>
  <c r="F14" i="26"/>
  <c r="F5" i="46" s="1"/>
  <c r="E6" i="48"/>
  <c r="E13" i="19"/>
  <c r="E6" i="46" s="1"/>
  <c r="J16" i="28"/>
  <c r="J8" i="46" s="1"/>
  <c r="J8" i="48"/>
  <c r="C10" i="48"/>
  <c r="C20" i="30"/>
  <c r="C10" i="46" s="1"/>
  <c r="J20" i="48"/>
  <c r="J16" i="42"/>
  <c r="J20" i="46" s="1"/>
  <c r="F6" i="48"/>
  <c r="F13" i="19"/>
  <c r="F6" i="46" s="1"/>
  <c r="E16" i="28"/>
  <c r="E8" i="46" s="1"/>
  <c r="E8" i="48"/>
  <c r="E20" i="30"/>
  <c r="E10" i="46" s="1"/>
  <c r="E10" i="48"/>
  <c r="D14" i="26"/>
  <c r="D5" i="46" s="1"/>
  <c r="D5" i="48"/>
  <c r="J14" i="26"/>
  <c r="J5" i="46" s="1"/>
  <c r="J5" i="48"/>
  <c r="J17" i="27"/>
  <c r="J7" i="46" s="1"/>
  <c r="J7" i="48"/>
  <c r="L15" i="27"/>
  <c r="K31" i="48"/>
  <c r="F16" i="28"/>
  <c r="F8" i="46" s="1"/>
  <c r="F8" i="48"/>
  <c r="E17" i="29"/>
  <c r="E9" i="46" s="1"/>
  <c r="E9" i="48"/>
  <c r="J19" i="36"/>
  <c r="J15" i="46" s="1"/>
  <c r="J15" i="48"/>
  <c r="E16" i="38"/>
  <c r="E17" i="46" s="1"/>
  <c r="E17" i="48"/>
  <c r="C15" i="39"/>
  <c r="C18" i="46" s="1"/>
  <c r="C18" i="48"/>
  <c r="C16" i="41"/>
  <c r="C21" i="46" s="1"/>
  <c r="C21" i="48"/>
  <c r="J16" i="41"/>
  <c r="J21" i="46" s="1"/>
  <c r="J21" i="48"/>
  <c r="J22" i="43"/>
  <c r="J22" i="46" s="1"/>
  <c r="L23" i="44"/>
  <c r="J12" i="45"/>
  <c r="J11" i="45"/>
  <c r="E14" i="26"/>
  <c r="E5" i="46" s="1"/>
  <c r="E5" i="48"/>
  <c r="L13" i="19"/>
  <c r="L6" i="46" s="1"/>
  <c r="C16" i="28"/>
  <c r="C8" i="46" s="1"/>
  <c r="C8" i="48"/>
  <c r="F17" i="29"/>
  <c r="F9" i="46" s="1"/>
  <c r="F9" i="48"/>
  <c r="C14" i="35"/>
  <c r="C13" i="48" s="1"/>
  <c r="C18" i="37"/>
  <c r="C16" i="46" s="1"/>
  <c r="C16" i="48"/>
  <c r="C17" i="40"/>
  <c r="C19" i="46" s="1"/>
  <c r="C19" i="48"/>
  <c r="J17" i="40"/>
  <c r="J19" i="46" s="1"/>
  <c r="J19" i="48"/>
  <c r="C16" i="42"/>
  <c r="C20" i="46" s="1"/>
  <c r="C20" i="48"/>
  <c r="D22" i="48"/>
  <c r="D15" i="43"/>
  <c r="J33" i="32"/>
  <c r="J14" i="46" s="1"/>
  <c r="J14" i="48"/>
  <c r="J18" i="37"/>
  <c r="J16" i="46" s="1"/>
  <c r="J40" i="48"/>
  <c r="J16" i="38"/>
  <c r="J17" i="46" s="1"/>
  <c r="J17" i="48"/>
  <c r="E15" i="39"/>
  <c r="E18" i="46" s="1"/>
  <c r="E18" i="48"/>
  <c r="C14" i="26"/>
  <c r="C5" i="46" s="1"/>
  <c r="C5" i="48"/>
  <c r="J13" i="19"/>
  <c r="J6" i="46" s="1"/>
  <c r="D17" i="29"/>
  <c r="D9" i="46" s="1"/>
  <c r="D9" i="48"/>
  <c r="E33" i="32"/>
  <c r="E14" i="46" s="1"/>
  <c r="E14" i="48"/>
  <c r="E16" i="42"/>
  <c r="E20" i="46" s="1"/>
  <c r="E20" i="48"/>
  <c r="M15" i="43"/>
  <c r="M22" i="48" s="1"/>
  <c r="C17" i="33"/>
  <c r="L13" i="29"/>
  <c r="K17" i="29"/>
  <c r="K9" i="46" s="1"/>
  <c r="K9" i="48"/>
  <c r="L29" i="44"/>
  <c r="L23" i="46" s="1"/>
  <c r="L23" i="48"/>
  <c r="M29" i="44"/>
  <c r="M23" i="46" s="1"/>
  <c r="M23" i="48"/>
  <c r="K23" i="44"/>
  <c r="C29" i="44"/>
  <c r="C23" i="46" s="1"/>
  <c r="C23" i="48"/>
  <c r="K16" i="41"/>
  <c r="K21" i="46" s="1"/>
  <c r="K21" i="48"/>
  <c r="L16" i="41"/>
  <c r="L21" i="46" s="1"/>
  <c r="L21" i="48"/>
  <c r="M16" i="41"/>
  <c r="M21" i="46" s="1"/>
  <c r="M21" i="48"/>
  <c r="K16" i="42"/>
  <c r="K20" i="46" s="1"/>
  <c r="K20" i="48"/>
  <c r="L16" i="42"/>
  <c r="L20" i="46" s="1"/>
  <c r="L20" i="48"/>
  <c r="M16" i="42"/>
  <c r="M20" i="46" s="1"/>
  <c r="M20" i="48"/>
  <c r="K17" i="40"/>
  <c r="K19" i="46" s="1"/>
  <c r="K19" i="48"/>
  <c r="L17" i="40"/>
  <c r="L19" i="46" s="1"/>
  <c r="L19" i="48"/>
  <c r="M17" i="40"/>
  <c r="M19" i="46" s="1"/>
  <c r="M19" i="48"/>
  <c r="L16" i="38"/>
  <c r="L17" i="46" s="1"/>
  <c r="L17" i="48"/>
  <c r="K16" i="38"/>
  <c r="K17" i="46" s="1"/>
  <c r="K17" i="48"/>
  <c r="M16" i="38"/>
  <c r="M17" i="46" s="1"/>
  <c r="M17" i="48"/>
  <c r="L18" i="37"/>
  <c r="L16" i="46" s="1"/>
  <c r="L16" i="48"/>
  <c r="K18" i="37"/>
  <c r="K16" i="46" s="1"/>
  <c r="K16" i="48"/>
  <c r="M18" i="37"/>
  <c r="M16" i="46" s="1"/>
  <c r="M16" i="48"/>
  <c r="K19" i="36"/>
  <c r="K15" i="46" s="1"/>
  <c r="K15" i="48"/>
  <c r="L19" i="36"/>
  <c r="L15" i="46" s="1"/>
  <c r="L15" i="48"/>
  <c r="M19" i="36"/>
  <c r="M15" i="46" s="1"/>
  <c r="M15" i="48"/>
  <c r="M33" i="32"/>
  <c r="M14" i="46" s="1"/>
  <c r="M14" i="48"/>
  <c r="K29" i="32"/>
  <c r="L33" i="32"/>
  <c r="L14" i="46" s="1"/>
  <c r="L14" i="48"/>
  <c r="L11" i="34"/>
  <c r="K20" i="30"/>
  <c r="K10" i="46" s="1"/>
  <c r="K10" i="48"/>
  <c r="L20" i="30"/>
  <c r="L10" i="46" s="1"/>
  <c r="L10" i="48"/>
  <c r="M20" i="30"/>
  <c r="M10" i="46" s="1"/>
  <c r="M10" i="48"/>
  <c r="M16" i="28"/>
  <c r="M8" i="46" s="1"/>
  <c r="M8" i="48"/>
  <c r="L16" i="28"/>
  <c r="L8" i="46" s="1"/>
  <c r="L8" i="48"/>
  <c r="K16" i="28"/>
  <c r="K8" i="46" s="1"/>
  <c r="K8" i="48"/>
  <c r="L14" i="26"/>
  <c r="L5" i="46" s="1"/>
  <c r="L5" i="48"/>
  <c r="M14" i="26"/>
  <c r="M5" i="46" s="1"/>
  <c r="M5" i="48"/>
  <c r="K14" i="26"/>
  <c r="K5" i="46" s="1"/>
  <c r="K5" i="48"/>
  <c r="C11" i="48"/>
  <c r="C23" i="33"/>
  <c r="C11" i="46" s="1"/>
  <c r="E50" i="48"/>
  <c r="K50" i="48"/>
  <c r="J12" i="48"/>
  <c r="J17" i="34"/>
  <c r="J12" i="46" s="1"/>
  <c r="L17" i="34"/>
  <c r="L12" i="46" s="1"/>
  <c r="L12" i="48"/>
  <c r="J50" i="48"/>
  <c r="C11" i="34"/>
  <c r="C50" i="48"/>
  <c r="K22" i="43"/>
  <c r="K22" i="46" s="1"/>
  <c r="K22" i="48"/>
  <c r="L22" i="43"/>
  <c r="L22" i="46" s="1"/>
  <c r="L22" i="48"/>
  <c r="F22" i="43"/>
  <c r="F22" i="46" s="1"/>
  <c r="F22" i="48"/>
  <c r="F16" i="42"/>
  <c r="F20" i="46" s="1"/>
  <c r="F20" i="48"/>
  <c r="D16" i="42"/>
  <c r="D20" i="46" s="1"/>
  <c r="D20" i="48"/>
  <c r="J23" i="33"/>
  <c r="J11" i="46" s="1"/>
  <c r="J11" i="48"/>
  <c r="J29" i="44"/>
  <c r="J23" i="46" s="1"/>
  <c r="D29" i="44"/>
  <c r="D23" i="46" s="1"/>
  <c r="D23" i="48"/>
  <c r="F17" i="40"/>
  <c r="F19" i="46" s="1"/>
  <c r="F19" i="48"/>
  <c r="D50" i="48"/>
  <c r="C19" i="36"/>
  <c r="C15" i="46" s="1"/>
  <c r="C15" i="48"/>
  <c r="J20" i="35"/>
  <c r="J13" i="46" s="1"/>
  <c r="J13" i="48"/>
  <c r="C20" i="35"/>
  <c r="C13" i="46" s="1"/>
  <c r="D17" i="27"/>
  <c r="D7" i="46" s="1"/>
  <c r="D7" i="48"/>
  <c r="F50" i="48"/>
  <c r="E16" i="41"/>
  <c r="E21" i="46" s="1"/>
  <c r="E21" i="48"/>
  <c r="D17" i="40"/>
  <c r="D19" i="46" s="1"/>
  <c r="D19" i="48"/>
  <c r="E17" i="40"/>
  <c r="E19" i="46" s="1"/>
  <c r="E19" i="48"/>
  <c r="D16" i="41"/>
  <c r="D21" i="46" s="1"/>
  <c r="D21" i="48"/>
  <c r="F16" i="41"/>
  <c r="F21" i="46" s="1"/>
  <c r="F21" i="48"/>
  <c r="D16" i="38"/>
  <c r="D17" i="46" s="1"/>
  <c r="D17" i="48"/>
  <c r="F16" i="38"/>
  <c r="F17" i="46" s="1"/>
  <c r="F17" i="48"/>
  <c r="M22" i="43"/>
  <c r="M22" i="46" s="1"/>
  <c r="E22" i="43"/>
  <c r="E22" i="46" s="1"/>
  <c r="C22" i="43"/>
  <c r="C22" i="46" s="1"/>
  <c r="D22" i="43"/>
  <c r="D22" i="46" s="1"/>
  <c r="E18" i="37"/>
  <c r="E16" i="46" s="1"/>
  <c r="E19" i="36"/>
  <c r="E15" i="46" s="1"/>
  <c r="E13" i="27"/>
  <c r="D29" i="32"/>
  <c r="E14" i="35"/>
  <c r="E47" i="45"/>
  <c r="C47" i="45"/>
  <c r="D47" i="45"/>
  <c r="H22" i="46"/>
  <c r="H20" i="46"/>
  <c r="K17" i="27"/>
  <c r="K7" i="46" s="1"/>
  <c r="L17" i="27"/>
  <c r="L7" i="46" s="1"/>
  <c r="J14" i="45"/>
  <c r="J47" i="45" s="1"/>
  <c r="H24" i="46"/>
  <c r="K14" i="45"/>
  <c r="K47" i="45" s="1"/>
  <c r="L14" i="45"/>
  <c r="L47" i="45" s="1"/>
  <c r="M14" i="45"/>
  <c r="M47" i="45" s="1"/>
  <c r="F47" i="45"/>
  <c r="E23" i="44"/>
  <c r="F23" i="44"/>
  <c r="F29" i="32"/>
  <c r="L14" i="35"/>
  <c r="M14" i="35"/>
  <c r="K14" i="35"/>
  <c r="F14" i="35"/>
  <c r="M11" i="34"/>
  <c r="D11" i="34"/>
  <c r="E11" i="34"/>
  <c r="F11" i="34"/>
  <c r="H12" i="46"/>
  <c r="E17" i="33"/>
  <c r="F17" i="33"/>
  <c r="M13" i="27"/>
  <c r="C13" i="27"/>
  <c r="F13" i="27"/>
  <c r="M13" i="29"/>
  <c r="C13" i="29"/>
  <c r="D17" i="33"/>
  <c r="H21" i="46"/>
  <c r="L9" i="39"/>
  <c r="M9" i="39" s="1"/>
  <c r="M11" i="39" s="1"/>
  <c r="J11" i="39"/>
  <c r="K11" i="39"/>
  <c r="H27" i="32"/>
  <c r="H29" i="32" s="1"/>
  <c r="D14" i="35"/>
  <c r="K11" i="34"/>
  <c r="H11" i="46"/>
  <c r="L17" i="33"/>
  <c r="K17" i="33"/>
  <c r="M17" i="33"/>
  <c r="H13" i="27"/>
  <c r="H14" i="44"/>
  <c r="H23" i="44" s="1"/>
  <c r="H15" i="46"/>
  <c r="D19" i="36"/>
  <c r="D15" i="46" s="1"/>
  <c r="F19" i="36"/>
  <c r="F15" i="46" s="1"/>
  <c r="H17" i="46"/>
  <c r="H19" i="46"/>
  <c r="D11" i="28"/>
  <c r="H11" i="28"/>
  <c r="H13" i="29"/>
  <c r="J15" i="39" l="1"/>
  <c r="J18" i="46" s="1"/>
  <c r="J18" i="48"/>
  <c r="E29" i="44"/>
  <c r="E23" i="46" s="1"/>
  <c r="E23" i="48"/>
  <c r="M15" i="27"/>
  <c r="M31" i="48" s="1"/>
  <c r="M50" i="48" s="1"/>
  <c r="L31" i="48"/>
  <c r="L50" i="48" s="1"/>
  <c r="H17" i="29"/>
  <c r="H9" i="46" s="1"/>
  <c r="H9" i="48"/>
  <c r="H16" i="28"/>
  <c r="H8" i="46" s="1"/>
  <c r="H8" i="48"/>
  <c r="C17" i="27"/>
  <c r="C7" i="46" s="1"/>
  <c r="C7" i="48"/>
  <c r="F52" i="45"/>
  <c r="F24" i="46" s="1"/>
  <c r="F24" i="48"/>
  <c r="C52" i="45"/>
  <c r="C24" i="46" s="1"/>
  <c r="C24" i="48"/>
  <c r="E17" i="27"/>
  <c r="E7" i="46" s="1"/>
  <c r="E7" i="48"/>
  <c r="D16" i="28"/>
  <c r="D8" i="46" s="1"/>
  <c r="D8" i="48"/>
  <c r="C17" i="29"/>
  <c r="C9" i="46" s="1"/>
  <c r="C9" i="48"/>
  <c r="M17" i="29"/>
  <c r="M9" i="46" s="1"/>
  <c r="M9" i="48"/>
  <c r="L17" i="29"/>
  <c r="L9" i="46" s="1"/>
  <c r="L9" i="48"/>
  <c r="K29" i="44"/>
  <c r="K23" i="46" s="1"/>
  <c r="K23" i="48"/>
  <c r="K15" i="39"/>
  <c r="K18" i="46" s="1"/>
  <c r="K18" i="48"/>
  <c r="M15" i="39"/>
  <c r="M18" i="46" s="1"/>
  <c r="M18" i="48"/>
  <c r="K33" i="32"/>
  <c r="K14" i="46" s="1"/>
  <c r="K14" i="48"/>
  <c r="M17" i="27"/>
  <c r="M7" i="46" s="1"/>
  <c r="M7" i="48"/>
  <c r="M52" i="45"/>
  <c r="M24" i="46" s="1"/>
  <c r="M24" i="48"/>
  <c r="L52" i="45"/>
  <c r="L24" i="46" s="1"/>
  <c r="L24" i="48"/>
  <c r="K52" i="45"/>
  <c r="K24" i="46" s="1"/>
  <c r="K24" i="48"/>
  <c r="E23" i="33"/>
  <c r="E11" i="46" s="1"/>
  <c r="E11" i="48"/>
  <c r="E17" i="34"/>
  <c r="E12" i="46" s="1"/>
  <c r="E12" i="48"/>
  <c r="M17" i="34"/>
  <c r="M12" i="46" s="1"/>
  <c r="M12" i="48"/>
  <c r="C26" i="48"/>
  <c r="C52" i="48" s="1"/>
  <c r="C17" i="34"/>
  <c r="C12" i="46" s="1"/>
  <c r="C12" i="48"/>
  <c r="K17" i="34"/>
  <c r="K12" i="46" s="1"/>
  <c r="K12" i="48"/>
  <c r="E52" i="45"/>
  <c r="E24" i="46" s="1"/>
  <c r="E24" i="48"/>
  <c r="J52" i="45"/>
  <c r="J24" i="46" s="1"/>
  <c r="J24" i="48"/>
  <c r="J26" i="48" s="1"/>
  <c r="J52" i="48" s="1"/>
  <c r="D52" i="45"/>
  <c r="D24" i="46" s="1"/>
  <c r="D24" i="48"/>
  <c r="D33" i="32"/>
  <c r="D14" i="46" s="1"/>
  <c r="D14" i="48"/>
  <c r="H33" i="32"/>
  <c r="H14" i="46" s="1"/>
  <c r="H14" i="48"/>
  <c r="F33" i="32"/>
  <c r="F14" i="46" s="1"/>
  <c r="F14" i="48"/>
  <c r="D17" i="34"/>
  <c r="D12" i="46" s="1"/>
  <c r="D12" i="48"/>
  <c r="F17" i="34"/>
  <c r="F12" i="46" s="1"/>
  <c r="F12" i="48"/>
  <c r="M23" i="33"/>
  <c r="M11" i="46" s="1"/>
  <c r="M11" i="48"/>
  <c r="L23" i="33"/>
  <c r="L11" i="46" s="1"/>
  <c r="L11" i="48"/>
  <c r="K23" i="33"/>
  <c r="K11" i="46" s="1"/>
  <c r="K11" i="48"/>
  <c r="H29" i="44"/>
  <c r="H23" i="46" s="1"/>
  <c r="H23" i="48"/>
  <c r="F29" i="44"/>
  <c r="F23" i="46" s="1"/>
  <c r="F23" i="48"/>
  <c r="K20" i="35"/>
  <c r="K13" i="46" s="1"/>
  <c r="K13" i="48"/>
  <c r="M20" i="35"/>
  <c r="M13" i="46" s="1"/>
  <c r="M13" i="48"/>
  <c r="L20" i="35"/>
  <c r="L13" i="46" s="1"/>
  <c r="L13" i="48"/>
  <c r="E20" i="35"/>
  <c r="E13" i="46" s="1"/>
  <c r="E26" i="46" s="1"/>
  <c r="E13" i="48"/>
  <c r="D23" i="33"/>
  <c r="D11" i="46" s="1"/>
  <c r="D11" i="48"/>
  <c r="F23" i="33"/>
  <c r="F11" i="46" s="1"/>
  <c r="F11" i="48"/>
  <c r="F17" i="27"/>
  <c r="F7" i="46" s="1"/>
  <c r="F7" i="48"/>
  <c r="H17" i="27"/>
  <c r="H7" i="46" s="1"/>
  <c r="H7" i="48"/>
  <c r="D20" i="35"/>
  <c r="D13" i="46" s="1"/>
  <c r="D13" i="48"/>
  <c r="F20" i="35"/>
  <c r="F13" i="46" s="1"/>
  <c r="F13" i="48"/>
  <c r="H13" i="46"/>
  <c r="J26" i="46"/>
  <c r="J30" i="46" s="1"/>
  <c r="L11" i="39"/>
  <c r="C26" i="46" l="1"/>
  <c r="C30" i="46" s="1"/>
  <c r="C34" i="46" s="1"/>
  <c r="J34" i="46"/>
  <c r="K33" i="46" s="1"/>
  <c r="Q10" i="49"/>
  <c r="V10" i="49" s="1"/>
  <c r="AB10" i="49" s="1"/>
  <c r="AH10" i="49" s="1"/>
  <c r="AN10" i="49" s="1"/>
  <c r="L15" i="39"/>
  <c r="L18" i="46" s="1"/>
  <c r="L18" i="48"/>
  <c r="L26" i="48" s="1"/>
  <c r="L52" i="48" s="1"/>
  <c r="M26" i="46"/>
  <c r="M28" i="46" s="1"/>
  <c r="M30" i="46" s="1"/>
  <c r="M45" i="46"/>
  <c r="M26" i="48"/>
  <c r="M52" i="48" s="1"/>
  <c r="C45" i="46"/>
  <c r="C46" i="46" s="1"/>
  <c r="D46" i="46" s="1"/>
  <c r="K26" i="46"/>
  <c r="E26" i="48"/>
  <c r="E52" i="48" s="1"/>
  <c r="K26" i="48"/>
  <c r="K52" i="48" s="1"/>
  <c r="L26" i="46"/>
  <c r="C43" i="46" l="1"/>
  <c r="E43" i="46" s="1"/>
  <c r="K45" i="46"/>
  <c r="K28" i="46"/>
  <c r="K30" i="46" s="1"/>
  <c r="K34" i="46" s="1"/>
  <c r="L33" i="46" s="1"/>
  <c r="L45" i="46"/>
  <c r="L28" i="46"/>
  <c r="L30" i="46" s="1"/>
  <c r="M49" i="46"/>
  <c r="M44" i="46"/>
  <c r="M43" i="46"/>
  <c r="M48" i="46"/>
  <c r="M47" i="46"/>
  <c r="M46" i="46"/>
  <c r="M42" i="46"/>
  <c r="C49" i="46"/>
  <c r="E49" i="46" s="1"/>
  <c r="D45" i="46"/>
  <c r="C48" i="46"/>
  <c r="D48" i="46" s="1"/>
  <c r="C47" i="46"/>
  <c r="D47" i="46" s="1"/>
  <c r="E45" i="46"/>
  <c r="C42" i="46"/>
  <c r="D42" i="46" s="1"/>
  <c r="E46" i="46"/>
  <c r="C44" i="46"/>
  <c r="D44" i="46" s="1"/>
  <c r="D43" i="46"/>
  <c r="D49" i="46"/>
  <c r="G12" i="30"/>
  <c r="G13" i="30" s="1"/>
  <c r="G15" i="30" s="1"/>
  <c r="G10" i="48" s="1"/>
  <c r="D12" i="30"/>
  <c r="H12" i="30" s="1"/>
  <c r="G11" i="30"/>
  <c r="F13" i="30"/>
  <c r="F15" i="30" s="1"/>
  <c r="G10" i="30"/>
  <c r="D11" i="30"/>
  <c r="H11" i="30" s="1"/>
  <c r="D10" i="30"/>
  <c r="H10" i="30"/>
  <c r="F20" i="30" l="1"/>
  <c r="F10" i="46" s="1"/>
  <c r="F10" i="48"/>
  <c r="D13" i="30"/>
  <c r="D15" i="30" s="1"/>
  <c r="E47" i="46"/>
  <c r="E48" i="46"/>
  <c r="L34" i="46"/>
  <c r="M33" i="46" s="1"/>
  <c r="M34" i="46" s="1"/>
  <c r="L49" i="46"/>
  <c r="L46" i="46"/>
  <c r="L42" i="46"/>
  <c r="L48" i="46"/>
  <c r="L47" i="46"/>
  <c r="L44" i="46"/>
  <c r="L43" i="46"/>
  <c r="K49" i="46"/>
  <c r="K46" i="46"/>
  <c r="K47" i="46"/>
  <c r="K48" i="46"/>
  <c r="K42" i="46"/>
  <c r="K43" i="46"/>
  <c r="K44" i="46"/>
  <c r="E42" i="46"/>
  <c r="E44" i="46"/>
  <c r="H13" i="30"/>
  <c r="H15" i="30" s="1"/>
  <c r="H20" i="30" s="1"/>
  <c r="H10" i="46" s="1"/>
  <c r="D20" i="30"/>
  <c r="D10" i="46" s="1"/>
  <c r="D10" i="48"/>
  <c r="G20" i="30"/>
  <c r="G10" i="46" s="1"/>
  <c r="F12" i="37"/>
  <c r="F18" i="37" s="1"/>
  <c r="F16" i="46" s="1"/>
  <c r="G10" i="37"/>
  <c r="G12" i="37" s="1"/>
  <c r="D10" i="37"/>
  <c r="H10" i="37" s="1"/>
  <c r="H12" i="37" s="1"/>
  <c r="H10" i="48" l="1"/>
  <c r="D12" i="37"/>
  <c r="D16" i="48" s="1"/>
  <c r="D18" i="37"/>
  <c r="D16" i="46" s="1"/>
  <c r="F16" i="48"/>
  <c r="H16" i="48"/>
  <c r="H18" i="37"/>
  <c r="H16" i="46" s="1"/>
  <c r="G18" i="37"/>
  <c r="G16" i="46" s="1"/>
  <c r="G16" i="48"/>
  <c r="F18" i="48"/>
  <c r="F26" i="48" s="1"/>
  <c r="F52" i="48" s="1"/>
  <c r="F11" i="39"/>
  <c r="F15" i="39"/>
  <c r="F18" i="46" s="1"/>
  <c r="F26" i="46" s="1"/>
  <c r="G9" i="39"/>
  <c r="G11" i="39" s="1"/>
  <c r="D9" i="39"/>
  <c r="D11" i="39" s="1"/>
  <c r="G18" i="48" l="1"/>
  <c r="G26" i="48" s="1"/>
  <c r="G52" i="48" s="1"/>
  <c r="G15" i="39"/>
  <c r="G18" i="46" s="1"/>
  <c r="G26" i="46" s="1"/>
  <c r="D18" i="48"/>
  <c r="D26" i="48" s="1"/>
  <c r="D52" i="48" s="1"/>
  <c r="D15" i="39"/>
  <c r="D18" i="46" s="1"/>
  <c r="D26" i="46" s="1"/>
  <c r="H9" i="39"/>
  <c r="H11" i="39" s="1"/>
  <c r="H15" i="39" l="1"/>
  <c r="H18" i="46" s="1"/>
  <c r="H26" i="46" s="1"/>
  <c r="H18" i="48"/>
  <c r="H26" i="48" s="1"/>
  <c r="H52" i="48" s="1"/>
</calcChain>
</file>

<file path=xl/sharedStrings.xml><?xml version="1.0" encoding="utf-8"?>
<sst xmlns="http://schemas.openxmlformats.org/spreadsheetml/2006/main" count="1010" uniqueCount="220">
  <si>
    <t>Total Income</t>
  </si>
  <si>
    <t>Support Services</t>
  </si>
  <si>
    <t>Capital / Other Adjs</t>
  </si>
  <si>
    <t>Pension Adjs</t>
  </si>
  <si>
    <t>Total</t>
  </si>
  <si>
    <t>£</t>
  </si>
  <si>
    <t>Events</t>
  </si>
  <si>
    <t>Total Indirect</t>
  </si>
  <si>
    <t>Marina Theatre</t>
  </si>
  <si>
    <t>Play Areas</t>
  </si>
  <si>
    <t>Denes Oval</t>
  </si>
  <si>
    <t>Normanston Park</t>
  </si>
  <si>
    <t>Administration</t>
  </si>
  <si>
    <t>Elections</t>
  </si>
  <si>
    <t>Town Clerk - Basic Salary</t>
  </si>
  <si>
    <t>Deputy Town Clerk - Basic Salary</t>
  </si>
  <si>
    <t>Assets / Services Manager - Basic Salary</t>
  </si>
  <si>
    <t>Marketing / Communities Manager -Basic Salary</t>
  </si>
  <si>
    <t>Administration Officer - Basic Salary</t>
  </si>
  <si>
    <t>Training</t>
  </si>
  <si>
    <t>Equipment</t>
  </si>
  <si>
    <t>Printing</t>
  </si>
  <si>
    <t>Stationery</t>
  </si>
  <si>
    <t>Postage</t>
  </si>
  <si>
    <t>Telephones</t>
  </si>
  <si>
    <t>Subscriptions</t>
  </si>
  <si>
    <t>External Audit</t>
  </si>
  <si>
    <t>Internal Audit</t>
  </si>
  <si>
    <t>Insurance</t>
  </si>
  <si>
    <t>Advertising</t>
  </si>
  <si>
    <t>IT</t>
  </si>
  <si>
    <t>Bank Charges</t>
  </si>
  <si>
    <t>Professional Fees</t>
  </si>
  <si>
    <t>Miscellaneous</t>
  </si>
  <si>
    <t>CCTV</t>
  </si>
  <si>
    <t>Pollard Piece Play Area</t>
  </si>
  <si>
    <t>Marshams Piece Play Area</t>
  </si>
  <si>
    <t>Open Space Raphael Walk</t>
  </si>
  <si>
    <t>Open Space 4 High Street</t>
  </si>
  <si>
    <t xml:space="preserve">Land Adjacent To 119 Notley Road </t>
  </si>
  <si>
    <t xml:space="preserve">Great Eastern Linear Park </t>
  </si>
  <si>
    <t>Land At Stoven Close</t>
  </si>
  <si>
    <t>Amenity Land Delius Close</t>
  </si>
  <si>
    <t>Car Park Links Road</t>
  </si>
  <si>
    <t xml:space="preserve">Civic &amp; Ceremonial </t>
  </si>
  <si>
    <t>Triangle Market</t>
  </si>
  <si>
    <t>Budget Contingency</t>
  </si>
  <si>
    <t>Playground off the Parklands</t>
  </si>
  <si>
    <t>Cotman Close Play Area</t>
  </si>
  <si>
    <t>Gunton Community Park Play Area</t>
  </si>
  <si>
    <t>Nightingale Road Play Area</t>
  </si>
  <si>
    <t>Parkhill Play Area (Bentley Drive)</t>
  </si>
  <si>
    <t>Rosedale Park inc play area</t>
  </si>
  <si>
    <t>St Margarets Play Area</t>
  </si>
  <si>
    <t>Thirlmere Walk Play Area</t>
  </si>
  <si>
    <t>Whitton Green Play Area</t>
  </si>
  <si>
    <t>Drying Rack</t>
  </si>
  <si>
    <t>Camping &amp; Caravan Site - Tingdene</t>
  </si>
  <si>
    <t>Business Rates</t>
  </si>
  <si>
    <t>Cleaning</t>
  </si>
  <si>
    <t>Furniture &amp; Equipment</t>
  </si>
  <si>
    <t>Machine R&amp;M</t>
  </si>
  <si>
    <t>Materials</t>
  </si>
  <si>
    <t>Laundry</t>
  </si>
  <si>
    <t>Telecommunications</t>
  </si>
  <si>
    <t>Planned Maintenance</t>
  </si>
  <si>
    <t>Responsive Maintenance</t>
  </si>
  <si>
    <t xml:space="preserve">Electricity </t>
  </si>
  <si>
    <t>Gas</t>
  </si>
  <si>
    <t>Insurances</t>
  </si>
  <si>
    <t>Total Expenditure</t>
  </si>
  <si>
    <t xml:space="preserve">Belle Vue Park </t>
  </si>
  <si>
    <t>Britten Road Play Area</t>
  </si>
  <si>
    <t>Net Expenditure</t>
  </si>
  <si>
    <t>Arts, Heritage, &amp; Museums - RNPSA Museum</t>
  </si>
  <si>
    <t xml:space="preserve">Turnberry Close Playground </t>
  </si>
  <si>
    <t xml:space="preserve">London Road Play Equipment </t>
  </si>
  <si>
    <t>Pakefield Green Play Area (Wellington Road)</t>
  </si>
  <si>
    <t xml:space="preserve">Responsive Maintenance </t>
  </si>
  <si>
    <t>Electricity</t>
  </si>
  <si>
    <t>Total Premises</t>
  </si>
  <si>
    <t>Water</t>
  </si>
  <si>
    <t>2017/18 Budget</t>
  </si>
  <si>
    <t>2017/18 Budget YTD</t>
  </si>
  <si>
    <t>2017/18 Actual YTD</t>
  </si>
  <si>
    <t>2017/18 Variance YTD</t>
  </si>
  <si>
    <t>2019/20 Forecast</t>
  </si>
  <si>
    <t>2020/21 Forecast</t>
  </si>
  <si>
    <t>Total Supplies &amp; Services</t>
  </si>
  <si>
    <t>Exempt Property Lettings</t>
  </si>
  <si>
    <t>Responsive Repairs &amp; Maintenance</t>
  </si>
  <si>
    <t>Sparrows Nest Park &amp; Sports Ground</t>
  </si>
  <si>
    <t>Park Maintenance</t>
  </si>
  <si>
    <t>Sports Ground Maintenance</t>
  </si>
  <si>
    <t>Bowling Club Maintenance</t>
  </si>
  <si>
    <t>Vatable Leisure Activity Fees</t>
  </si>
  <si>
    <t>General Vatable Fees &amp; Charges</t>
  </si>
  <si>
    <t xml:space="preserve">Kensington Gardens Park, Lake, &amp; Sports Ground </t>
  </si>
  <si>
    <t>Water - Kirkley Fen Park</t>
  </si>
  <si>
    <t>Business Rates - Kirkley RG</t>
  </si>
  <si>
    <t>Kirkley Fen Park and Play Area</t>
  </si>
  <si>
    <t>Pakefield Street Public Convenience</t>
  </si>
  <si>
    <t>The Triangle Public Convenience</t>
  </si>
  <si>
    <t>Kensington Gardens Public Convenience</t>
  </si>
  <si>
    <t>Lowestoft Cemetery Public Convenience</t>
  </si>
  <si>
    <t>Kirkley Cliff Road Public Convenience</t>
  </si>
  <si>
    <t>Uplands Community Centre Exempt Lettings</t>
  </si>
  <si>
    <t>Lighthouse Café / Arnolds Bequest Exempt Lttngs</t>
  </si>
  <si>
    <t>Allotments and Open Spaces</t>
  </si>
  <si>
    <t>Allotments - Administration Fee</t>
  </si>
  <si>
    <t>Town Hall</t>
  </si>
  <si>
    <t>Salaries</t>
  </si>
  <si>
    <t xml:space="preserve">Employers National Insurance </t>
  </si>
  <si>
    <t>Employers Superannuation</t>
  </si>
  <si>
    <t>Total Direct Employees</t>
  </si>
  <si>
    <t>Total Other Employees</t>
  </si>
  <si>
    <t>Travel Expenses</t>
  </si>
  <si>
    <t>Total Transport</t>
  </si>
  <si>
    <t>Total Third Party Payments</t>
  </si>
  <si>
    <t>Total Recharges / Other</t>
  </si>
  <si>
    <t>Lowestoft Town Council Summary Budget - Net Expenditure</t>
  </si>
  <si>
    <t>Total Net Expenditure</t>
  </si>
  <si>
    <t>LOWESTOFT TOWN COUNCIL PRECEPT AMOUNTS</t>
  </si>
  <si>
    <t>Council Tax Base</t>
  </si>
  <si>
    <t>Council Tax:</t>
  </si>
  <si>
    <t>2017/18 
Per year (£)</t>
  </si>
  <si>
    <t>2017/18
Per month (£)</t>
  </si>
  <si>
    <t>2017/18
Per week (£)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</si>
  <si>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</si>
  <si>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</si>
  <si>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</si>
  <si>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</si>
  <si>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</si>
  <si>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</si>
  <si>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</si>
  <si>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</si>
  <si>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2017/18 Forecast</t>
  </si>
  <si>
    <t>Repairs &amp; Maintenance Provision</t>
  </si>
  <si>
    <t>Allotments Rental Income</t>
  </si>
  <si>
    <t>Maintenance Charges</t>
  </si>
  <si>
    <t>Total Maintenance Charges</t>
  </si>
  <si>
    <t>Precept</t>
  </si>
  <si>
    <t>2017/18 WDC Commitments</t>
  </si>
  <si>
    <t>Interim Support</t>
  </si>
  <si>
    <t>Asset Management</t>
  </si>
  <si>
    <t>Play Areas - General</t>
  </si>
  <si>
    <t>Misc Supplies &amp; Services / Advertising</t>
  </si>
  <si>
    <t>Property Lettings</t>
  </si>
  <si>
    <t>Building Maintenance</t>
  </si>
  <si>
    <t>Marina Theatre Trust Management Fee</t>
  </si>
  <si>
    <t>2017/18 Commitments</t>
  </si>
  <si>
    <t>2017/18 VAT</t>
  </si>
  <si>
    <t>Rents</t>
  </si>
  <si>
    <t>Leisure Activity Fees &amp; Charges</t>
  </si>
  <si>
    <t>Rental Income</t>
  </si>
  <si>
    <t>Whitton Estate Meeting Hall</t>
  </si>
  <si>
    <t>VAT Other</t>
  </si>
  <si>
    <t>Expenditure</t>
  </si>
  <si>
    <t>Income</t>
  </si>
  <si>
    <t>Lowestoft Town Council Summary Budget - Gross Expenditure &amp; Income</t>
  </si>
  <si>
    <t>Miscellaneous &amp; Reserve Contributions</t>
  </si>
  <si>
    <t>Total Contributions to Reserves</t>
  </si>
  <si>
    <t>Sparrows Nest R&amp;M Provision</t>
  </si>
  <si>
    <t>Belle Vue R&amp;M Provision</t>
  </si>
  <si>
    <t>2018/19 
Per year (£)</t>
  </si>
  <si>
    <t>Transfer (to) / from General Reserve</t>
  </si>
  <si>
    <t>General Reserve</t>
  </si>
  <si>
    <t>Brought Forward</t>
  </si>
  <si>
    <t>Carried Forward</t>
  </si>
  <si>
    <t>2019/20 
Per year (£)</t>
  </si>
  <si>
    <t>2020/21 
Per year (£)</t>
  </si>
  <si>
    <t>2018/19 Draft Budget</t>
  </si>
  <si>
    <t>BID Levy</t>
  </si>
  <si>
    <t>Repairs and Maintenance Provision</t>
  </si>
  <si>
    <t xml:space="preserve">Play Areas Refurbishment Provision </t>
  </si>
  <si>
    <t>2011/12 Movements</t>
  </si>
  <si>
    <t>2013/14 Movements</t>
  </si>
  <si>
    <t>2014/15 Movements</t>
  </si>
  <si>
    <t>2015/16 Movements</t>
  </si>
  <si>
    <t>2016/17 Movements</t>
  </si>
  <si>
    <t>ACTUAL</t>
  </si>
  <si>
    <t>BUDGET</t>
  </si>
  <si>
    <t>Closing  Balance 31/03/12</t>
  </si>
  <si>
    <t>Opening Balance 01/04/13</t>
  </si>
  <si>
    <t>Closing  Balance 31/03/14</t>
  </si>
  <si>
    <t>Closing  Balance 31/03/15</t>
  </si>
  <si>
    <t>Current Closing  Balance 31/03/17</t>
  </si>
  <si>
    <t>2017/18 Movements</t>
  </si>
  <si>
    <t>Current Closing  Balance 31/03/18</t>
  </si>
  <si>
    <t>Closing  Balance 31/03/18</t>
  </si>
  <si>
    <t>2018/19 Movements</t>
  </si>
  <si>
    <t>Current Closing  Balance 31/03/19</t>
  </si>
  <si>
    <t>Closing  Balance 31/03/19</t>
  </si>
  <si>
    <t>2019/20 Movements</t>
  </si>
  <si>
    <t>Current Closing  Balance 31/03/20</t>
  </si>
  <si>
    <t>Closing  Balance 31/03/20</t>
  </si>
  <si>
    <t>2020/21 Movements</t>
  </si>
  <si>
    <t>Closing  Balance 31/03/21</t>
  </si>
  <si>
    <t>Opening Balance 01/04/11</t>
  </si>
  <si>
    <t>Transfers In</t>
  </si>
  <si>
    <t>Transfers Out</t>
  </si>
  <si>
    <t>1617 Current Transfers In</t>
  </si>
  <si>
    <t>1617 Current Transfers Out</t>
  </si>
  <si>
    <t>1617 Revised Transfers between Reserves</t>
  </si>
  <si>
    <t>1718 Current Transfers In</t>
  </si>
  <si>
    <t>1718 Current Transfers Out</t>
  </si>
  <si>
    <t>1819 Current Transfers In</t>
  </si>
  <si>
    <t>1819 Current Transfers Out</t>
  </si>
  <si>
    <t>1920 Current Transfers In</t>
  </si>
  <si>
    <t>1920 Current Transfers Out</t>
  </si>
  <si>
    <t>£000</t>
  </si>
  <si>
    <t>Earmarked Reserves - Revenue:</t>
  </si>
  <si>
    <t>Opening Balance 01/04/17</t>
  </si>
  <si>
    <t>Parks Repairs &amp; Maintenance</t>
  </si>
  <si>
    <t xml:space="preserve">Play Areas Refurbishment </t>
  </si>
  <si>
    <t xml:space="preserve">Elections </t>
  </si>
  <si>
    <t>Earmarked Reserves - Revenue Total</t>
  </si>
  <si>
    <t>Lowestoft Town Council Reserve Balances</t>
  </si>
  <si>
    <t>2017/18 - 2020/21</t>
  </si>
  <si>
    <t>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</si>
</sst>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\ ;\(#,##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164" fontId="1" fillId="0" borderId="0" xfId="1" applyNumberFormat="1" applyFont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left" vertical="center"/>
    </xf>
    <xf numFmtId="165" fontId="0" fillId="0" borderId="1" xfId="1" applyNumberFormat="1" applyFont="1" applyFill="1" applyBorder="1"/>
    <xf numFmtId="165" fontId="1" fillId="0" borderId="1" xfId="1" applyNumberFormat="1" applyFont="1" applyFill="1" applyBorder="1"/>
    <xf numFmtId="0" fontId="0" fillId="0" borderId="1" xfId="0" applyFont="1" applyFill="1" applyBorder="1"/>
    <xf numFmtId="165" fontId="0" fillId="0" borderId="1" xfId="0" applyNumberFormat="1" applyFill="1" applyBorder="1"/>
    <xf numFmtId="165" fontId="3" fillId="0" borderId="1" xfId="1" applyNumberFormat="1" applyFont="1" applyFill="1" applyBorder="1"/>
    <xf numFmtId="0" fontId="1" fillId="0" borderId="1" xfId="0" applyFont="1" applyBorder="1" applyAlignment="1">
      <alignment horizontal="center" wrapText="1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43" fontId="1" fillId="0" borderId="1" xfId="1" applyFont="1" applyBorder="1"/>
    <xf numFmtId="2" fontId="1" fillId="0" borderId="1" xfId="0" applyNumberFormat="1" applyFont="1" applyBorder="1"/>
    <xf numFmtId="0" fontId="0" fillId="0" borderId="0" xfId="0" applyFont="1"/>
    <xf numFmtId="2" fontId="0" fillId="0" borderId="1" xfId="0" applyNumberFormat="1" applyFont="1" applyBorder="1"/>
    <xf numFmtId="17" fontId="1" fillId="0" borderId="1" xfId="0" quotePrefix="1" applyNumberFormat="1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65" fontId="0" fillId="0" borderId="1" xfId="0" applyNumberFormat="1" applyBorder="1"/>
    <xf numFmtId="165" fontId="1" fillId="0" borderId="1" xfId="0" applyNumberFormat="1" applyFont="1" applyBorder="1"/>
    <xf numFmtId="0" fontId="0" fillId="0" borderId="0" xfId="0" quotePrefix="1"/>
    <xf numFmtId="0" fontId="0" fillId="0" borderId="0" xfId="0" applyFill="1"/>
    <xf numFmtId="0" fontId="0" fillId="0" borderId="0" xfId="0" applyFont="1" applyAlignment="1">
      <alignment vertical="center"/>
    </xf>
    <xf numFmtId="3" fontId="0" fillId="0" borderId="1" xfId="1" applyNumberFormat="1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 wrapText="1"/>
    </xf>
    <xf numFmtId="3" fontId="0" fillId="0" borderId="2" xfId="1" applyNumberFormat="1" applyFont="1" applyFill="1" applyBorder="1"/>
    <xf numFmtId="165" fontId="3" fillId="0" borderId="2" xfId="1" applyNumberFormat="1" applyFont="1" applyFill="1" applyBorder="1"/>
    <xf numFmtId="165" fontId="1" fillId="0" borderId="2" xfId="1" applyNumberFormat="1" applyFont="1" applyFill="1" applyBorder="1"/>
    <xf numFmtId="165" fontId="3" fillId="0" borderId="3" xfId="1" applyNumberFormat="1" applyFont="1" applyFill="1" applyBorder="1"/>
    <xf numFmtId="0" fontId="1" fillId="0" borderId="1" xfId="0" applyFont="1" applyFill="1" applyBorder="1"/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0" fontId="7" fillId="0" borderId="0" xfId="0" applyFont="1" applyFill="1"/>
    <xf numFmtId="4" fontId="6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3" fontId="6" fillId="0" borderId="0" xfId="0" applyNumberFormat="1" applyFont="1" applyFill="1"/>
    <xf numFmtId="0" fontId="8" fillId="0" borderId="0" xfId="0" applyFont="1" applyFill="1" applyBorder="1" applyAlignment="1">
      <alignment vertical="top"/>
    </xf>
    <xf numFmtId="0" fontId="7" fillId="0" borderId="0" xfId="0" applyFont="1"/>
    <xf numFmtId="14" fontId="7" fillId="0" borderId="0" xfId="0" applyNumberFormat="1" applyFont="1" applyFill="1"/>
    <xf numFmtId="4" fontId="7" fillId="0" borderId="0" xfId="0" applyNumberFormat="1" applyFont="1" applyFill="1"/>
    <xf numFmtId="4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4" fontId="8" fillId="0" borderId="0" xfId="0" applyNumberFormat="1" applyFont="1" applyFill="1" applyBorder="1"/>
    <xf numFmtId="166" fontId="9" fillId="2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6" fontId="7" fillId="2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14" fontId="7" fillId="0" borderId="0" xfId="0" applyNumberFormat="1" applyFont="1" applyFill="1" applyBorder="1"/>
    <xf numFmtId="3" fontId="7" fillId="0" borderId="0" xfId="0" applyNumberFormat="1" applyFont="1" applyFill="1" applyBorder="1"/>
    <xf numFmtId="3" fontId="6" fillId="0" borderId="0" xfId="0" applyNumberFormat="1" applyFont="1" applyFill="1" applyBorder="1"/>
    <xf numFmtId="4" fontId="6" fillId="0" borderId="1" xfId="0" applyNumberFormat="1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3" fontId="6" fillId="0" borderId="1" xfId="0" applyNumberFormat="1" applyFont="1" applyFill="1" applyBorder="1"/>
    <xf numFmtId="3" fontId="7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4" fontId="9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3" fontId="6" fillId="0" borderId="1" xfId="0" quotePrefix="1" applyNumberFormat="1" applyFont="1" applyFill="1" applyBorder="1" applyAlignment="1">
      <alignment horizontal="center" wrapText="1"/>
    </xf>
    <xf numFmtId="3" fontId="7" fillId="2" borderId="1" xfId="0" quotePrefix="1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" fontId="8" fillId="0" borderId="1" xfId="0" applyNumberFormat="1" applyFont="1" applyFill="1" applyBorder="1"/>
    <xf numFmtId="166" fontId="6" fillId="0" borderId="1" xfId="0" applyNumberFormat="1" applyFont="1" applyFill="1" applyBorder="1"/>
    <xf numFmtId="166" fontId="7" fillId="0" borderId="1" xfId="0" applyNumberFormat="1" applyFont="1" applyFill="1" applyBorder="1"/>
    <xf numFmtId="166" fontId="7" fillId="2" borderId="1" xfId="0" applyNumberFormat="1" applyFont="1" applyFill="1" applyBorder="1"/>
    <xf numFmtId="166" fontId="6" fillId="0" borderId="6" xfId="0" applyNumberFormat="1" applyFont="1" applyFill="1" applyBorder="1" applyAlignment="1">
      <alignment horizontal="right"/>
    </xf>
    <xf numFmtId="166" fontId="7" fillId="0" borderId="6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7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right"/>
    </xf>
    <xf numFmtId="0" fontId="7" fillId="0" borderId="6" xfId="0" applyFont="1" applyFill="1" applyBorder="1"/>
    <xf numFmtId="4" fontId="6" fillId="0" borderId="6" xfId="0" applyNumberFormat="1" applyFont="1" applyFill="1" applyBorder="1"/>
    <xf numFmtId="4" fontId="7" fillId="0" borderId="6" xfId="0" applyNumberFormat="1" applyFont="1" applyFill="1" applyBorder="1"/>
    <xf numFmtId="4" fontId="8" fillId="0" borderId="6" xfId="0" applyNumberFormat="1" applyFont="1" applyFill="1" applyBorder="1"/>
    <xf numFmtId="3" fontId="6" fillId="0" borderId="6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0" fontId="6" fillId="0" borderId="10" xfId="0" applyFont="1" applyFill="1" applyBorder="1"/>
    <xf numFmtId="4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 horizontal="right"/>
    </xf>
    <xf numFmtId="166" fontId="9" fillId="0" borderId="12" xfId="0" applyNumberFormat="1" applyFont="1" applyFill="1" applyBorder="1" applyAlignment="1">
      <alignment horizontal="right"/>
    </xf>
    <xf numFmtId="8" fontId="8" fillId="0" borderId="6" xfId="0" applyNumberFormat="1" applyFont="1" applyFill="1" applyBorder="1"/>
    <xf numFmtId="3" fontId="6" fillId="0" borderId="6" xfId="0" applyNumberFormat="1" applyFont="1" applyFill="1" applyBorder="1"/>
    <xf numFmtId="3" fontId="7" fillId="0" borderId="6" xfId="0" applyNumberFormat="1" applyFont="1" applyFill="1" applyBorder="1"/>
    <xf numFmtId="3" fontId="7" fillId="2" borderId="6" xfId="0" applyNumberFormat="1" applyFont="1" applyFill="1" applyBorder="1"/>
    <xf numFmtId="4" fontId="6" fillId="0" borderId="3" xfId="0" applyNumberFormat="1" applyFont="1" applyFill="1" applyBorder="1"/>
    <xf numFmtId="4" fontId="7" fillId="0" borderId="3" xfId="0" applyNumberFormat="1" applyFont="1" applyFill="1" applyBorder="1"/>
    <xf numFmtId="4" fontId="8" fillId="0" borderId="3" xfId="0" applyNumberFormat="1" applyFont="1" applyFill="1" applyBorder="1"/>
    <xf numFmtId="3" fontId="6" fillId="0" borderId="3" xfId="0" applyNumberFormat="1" applyFont="1" applyFill="1" applyBorder="1"/>
    <xf numFmtId="3" fontId="7" fillId="0" borderId="3" xfId="0" applyNumberFormat="1" applyFont="1" applyFill="1" applyBorder="1"/>
    <xf numFmtId="166" fontId="6" fillId="0" borderId="3" xfId="0" applyNumberFormat="1" applyFont="1" applyFill="1" applyBorder="1"/>
    <xf numFmtId="166" fontId="7" fillId="0" borderId="3" xfId="0" applyNumberFormat="1" applyFont="1" applyFill="1" applyBorder="1"/>
    <xf numFmtId="166" fontId="7" fillId="2" borderId="3" xfId="0" applyNumberFormat="1" applyFont="1" applyFill="1" applyBorder="1"/>
    <xf numFmtId="4" fontId="6" fillId="0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166" fontId="7" fillId="2" borderId="11" xfId="0" applyNumberFormat="1" applyFont="1" applyFill="1" applyBorder="1" applyAlignment="1">
      <alignment horizontal="right"/>
    </xf>
    <xf numFmtId="0" fontId="5" fillId="0" borderId="13" xfId="0" applyFont="1" applyBorder="1" applyAlignment="1">
      <alignment wrapText="1"/>
    </xf>
    <xf numFmtId="4" fontId="6" fillId="0" borderId="14" xfId="0" applyNumberFormat="1" applyFont="1" applyFill="1" applyBorder="1"/>
    <xf numFmtId="0" fontId="7" fillId="0" borderId="14" xfId="0" applyFont="1" applyFill="1" applyBorder="1"/>
    <xf numFmtId="0" fontId="8" fillId="0" borderId="14" xfId="0" applyFont="1" applyFill="1" applyBorder="1"/>
    <xf numFmtId="3" fontId="6" fillId="0" borderId="14" xfId="0" applyNumberFormat="1" applyFont="1" applyFill="1" applyBorder="1"/>
    <xf numFmtId="3" fontId="7" fillId="0" borderId="14" xfId="0" applyNumberFormat="1" applyFont="1" applyFill="1" applyBorder="1"/>
    <xf numFmtId="3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vertical="top"/>
    </xf>
    <xf numFmtId="0" fontId="6" fillId="0" borderId="15" xfId="0" applyFont="1" applyBorder="1" applyAlignment="1">
      <alignment wrapText="1"/>
    </xf>
    <xf numFmtId="0" fontId="6" fillId="0" borderId="16" xfId="0" applyFont="1" applyFill="1" applyBorder="1" applyAlignment="1"/>
    <xf numFmtId="0" fontId="7" fillId="0" borderId="17" xfId="0" applyFont="1" applyFill="1" applyBorder="1"/>
    <xf numFmtId="0" fontId="6" fillId="0" borderId="15" xfId="0" applyFont="1" applyFill="1" applyBorder="1" applyAlignment="1"/>
    <xf numFmtId="0" fontId="6" fillId="0" borderId="15" xfId="0" applyFont="1" applyFill="1" applyBorder="1"/>
    <xf numFmtId="0" fontId="7" fillId="0" borderId="15" xfId="0" applyFont="1" applyFill="1" applyBorder="1"/>
    <xf numFmtId="0" fontId="1" fillId="0" borderId="15" xfId="0" applyFont="1" applyBorder="1"/>
    <xf numFmtId="0" fontId="7" fillId="0" borderId="16" xfId="0" applyFont="1" applyFill="1" applyBorder="1"/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/>
    <xf numFmtId="43" fontId="0" fillId="0" borderId="0" xfId="0" applyNumberFormat="1"/>
    <xf numFmtId="2" fontId="0" fillId="0" borderId="0" xfId="0" applyNumberFormat="1"/>
    <xf numFmtId="10" fontId="0" fillId="0" borderId="0" xfId="8" applyNumberFormat="1" applyFont="1"/>
    <xf numFmtId="0" fontId="0" fillId="0" borderId="0" xfId="0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vertical="top"/>
    </xf>
  </cellXfs>
  <cellStyles count="9">
    <cellStyle name="Comma" xfId="1" builtinId="3"/>
    <cellStyle name="Comma 2" xfId="4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54"/>
  <sheetViews>
    <sheetView tabSelected="1" workbookViewId="0">
      <selection activeCell="B51" sqref="B51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18" ht="31.5" x14ac:dyDescent="0.25">
      <c r="B2" s="19" t="s">
        <v>120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1" t="s">
        <v>219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18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x14ac:dyDescent="0.25">
      <c r="B5" s="6" t="str">
        <f>Museum!B2</f>
        <v>Arts, Heritage, &amp; Museums - RNPSA Museum</v>
      </c>
      <c r="C5" s="10">
        <f>Museum!C14</f>
        <v>1500</v>
      </c>
      <c r="D5" s="10">
        <f>Museum!D14</f>
        <v>106</v>
      </c>
      <c r="E5" s="10">
        <f>Museum!E14</f>
        <v>181</v>
      </c>
      <c r="F5" s="10">
        <f>Museum!F14</f>
        <v>0</v>
      </c>
      <c r="G5" s="10">
        <f>Museum!G14</f>
        <v>0</v>
      </c>
      <c r="H5" s="10">
        <f>Museum!H14</f>
        <v>75</v>
      </c>
      <c r="I5" s="10">
        <f>Museum!I14</f>
        <v>0</v>
      </c>
      <c r="J5" s="10">
        <f>Museum!J14</f>
        <v>1950</v>
      </c>
      <c r="K5" s="10">
        <f>Museum!K14</f>
        <v>1996.5</v>
      </c>
      <c r="L5" s="10">
        <f>Museum!L14</f>
        <v>2044.395</v>
      </c>
      <c r="M5" s="10">
        <f>Museum!M14</f>
        <v>2093.72685</v>
      </c>
      <c r="N5" s="3"/>
      <c r="O5" s="3"/>
      <c r="P5" s="3"/>
      <c r="Q5" s="3"/>
      <c r="R5" s="3"/>
    </row>
    <row r="6" spans="2:18" x14ac:dyDescent="0.25">
      <c r="B6" s="6" t="str">
        <f>'Caravan Site'!B2</f>
        <v>Camping &amp; Caravan Site - Tingdene</v>
      </c>
      <c r="C6" s="10">
        <f>'Caravan Site'!C13</f>
        <v>-78700</v>
      </c>
      <c r="D6" s="10">
        <f>'Caravan Site'!D13</f>
        <v>0</v>
      </c>
      <c r="E6" s="10">
        <f>'Caravan Site'!E13</f>
        <v>0</v>
      </c>
      <c r="F6" s="10">
        <f>'Caravan Site'!F13</f>
        <v>0</v>
      </c>
      <c r="G6" s="10">
        <f>'Caravan Site'!G13</f>
        <v>0</v>
      </c>
      <c r="H6" s="10">
        <f>'Caravan Site'!H13</f>
        <v>0</v>
      </c>
      <c r="I6" s="10">
        <f>'Caravan Site'!I13</f>
        <v>0</v>
      </c>
      <c r="J6" s="10">
        <f>'Caravan Site'!J13</f>
        <v>-78700</v>
      </c>
      <c r="K6" s="10">
        <f>'Caravan Site'!K13</f>
        <v>-78700</v>
      </c>
      <c r="L6" s="10">
        <f>'Caravan Site'!L13</f>
        <v>-78700</v>
      </c>
      <c r="M6" s="10">
        <f>'Caravan Site'!M13</f>
        <v>-78700</v>
      </c>
      <c r="N6" s="3"/>
      <c r="O6" s="3"/>
      <c r="P6" s="3"/>
      <c r="Q6" s="3"/>
      <c r="R6" s="3"/>
    </row>
    <row r="7" spans="2:18" x14ac:dyDescent="0.25">
      <c r="B7" s="6" t="str">
        <f>CCTV!B2</f>
        <v>CCTV</v>
      </c>
      <c r="C7" s="10">
        <f>CCTV!C17</f>
        <v>292400</v>
      </c>
      <c r="D7" s="10">
        <f>CCTV!D17</f>
        <v>138405.84791386273</v>
      </c>
      <c r="E7" s="10">
        <f>CCTV!E17</f>
        <v>90386</v>
      </c>
      <c r="F7" s="10">
        <f>CCTV!F17</f>
        <v>45910.847913862715</v>
      </c>
      <c r="G7" s="10">
        <f>CCTV!G17</f>
        <v>117894.15208613727</v>
      </c>
      <c r="H7" s="10">
        <f>CCTV!H17</f>
        <v>-2109</v>
      </c>
      <c r="I7" s="10">
        <f>CCTV!I17</f>
        <v>18042.960969044412</v>
      </c>
      <c r="J7" s="10">
        <f>CCTV!J17</f>
        <v>255245</v>
      </c>
      <c r="K7" s="10">
        <f>CCTV!K17</f>
        <v>264171.84999999998</v>
      </c>
      <c r="L7" s="10">
        <f>CCTV!L17</f>
        <v>272097.00550000003</v>
      </c>
      <c r="M7" s="10">
        <f>CCTV!M17</f>
        <v>280259.91566500004</v>
      </c>
      <c r="N7" s="3"/>
      <c r="O7" s="3"/>
      <c r="P7" s="3"/>
      <c r="Q7" s="3"/>
      <c r="R7" s="3"/>
    </row>
    <row r="8" spans="2:18" x14ac:dyDescent="0.25">
      <c r="B8" s="6" t="str">
        <f>Events!B2</f>
        <v>Events</v>
      </c>
      <c r="C8" s="10">
        <f>Events!C16</f>
        <v>-2400</v>
      </c>
      <c r="D8" s="10">
        <f>Events!D16</f>
        <v>120</v>
      </c>
      <c r="E8" s="10">
        <f>Events!E16</f>
        <v>120</v>
      </c>
      <c r="F8" s="10">
        <f>Events!F16</f>
        <v>0</v>
      </c>
      <c r="G8" s="10">
        <f>Events!G16</f>
        <v>0</v>
      </c>
      <c r="H8" s="10">
        <f>Events!H16</f>
        <v>0</v>
      </c>
      <c r="I8" s="10">
        <f>Events!I16</f>
        <v>0</v>
      </c>
      <c r="J8" s="10">
        <f>Events!J16</f>
        <v>-2400</v>
      </c>
      <c r="K8" s="10">
        <f>Events!K16</f>
        <v>-2367</v>
      </c>
      <c r="L8" s="10">
        <f>Events!L16</f>
        <v>-2333.0100000000002</v>
      </c>
      <c r="M8" s="10">
        <f>Events!M16</f>
        <v>-2298.0002999999997</v>
      </c>
      <c r="N8" s="3"/>
      <c r="O8" s="3"/>
      <c r="P8" s="3"/>
      <c r="Q8" s="3"/>
      <c r="R8" s="3"/>
    </row>
    <row r="9" spans="2:18" x14ac:dyDescent="0.25">
      <c r="B9" s="6" t="str">
        <f>'Marina Theatre'!B2</f>
        <v>Marina Theatre</v>
      </c>
      <c r="C9" s="10">
        <f>'Marina Theatre'!C17</f>
        <v>159100</v>
      </c>
      <c r="D9" s="10">
        <f>'Marina Theatre'!D17</f>
        <v>154207</v>
      </c>
      <c r="E9" s="10">
        <f>'Marina Theatre'!E17</f>
        <v>207</v>
      </c>
      <c r="F9" s="10">
        <f>'Marina Theatre'!F17</f>
        <v>150000</v>
      </c>
      <c r="G9" s="10">
        <f>'Marina Theatre'!G17</f>
        <v>0</v>
      </c>
      <c r="H9" s="10">
        <f>'Marina Theatre'!H17</f>
        <v>-4000</v>
      </c>
      <c r="I9" s="10">
        <f>'Marina Theatre'!I17</f>
        <v>0</v>
      </c>
      <c r="J9" s="10">
        <f>'Marina Theatre'!J17</f>
        <v>155100</v>
      </c>
      <c r="K9" s="10">
        <f>'Marina Theatre'!K17</f>
        <v>160000</v>
      </c>
      <c r="L9" s="10">
        <f>'Marina Theatre'!L17</f>
        <v>160000</v>
      </c>
      <c r="M9" s="10">
        <f>'Marina Theatre'!M17</f>
        <v>160000</v>
      </c>
      <c r="N9" s="3"/>
      <c r="O9" s="3"/>
      <c r="P9" s="3"/>
      <c r="Q9" s="3"/>
      <c r="R9" s="3"/>
    </row>
    <row r="10" spans="2:18" x14ac:dyDescent="0.25">
      <c r="B10" s="6" t="str">
        <f>'Open Spaces'!B2</f>
        <v>Allotments and Open Spaces</v>
      </c>
      <c r="C10" s="10">
        <f>'Open Spaces'!C20</f>
        <v>7200</v>
      </c>
      <c r="D10" s="10">
        <f>'Open Spaces'!D20</f>
        <v>4274.6971736204578</v>
      </c>
      <c r="E10" s="10">
        <f>'Open Spaces'!E20</f>
        <v>3138.4925975773895</v>
      </c>
      <c r="F10" s="10">
        <f>'Open Spaces'!F20</f>
        <v>1136.2045760430685</v>
      </c>
      <c r="G10" s="10">
        <f>'Open Spaces'!G20</f>
        <v>2925.3028263795422</v>
      </c>
      <c r="H10" s="10">
        <f>'Open Spaces'!H20</f>
        <v>0</v>
      </c>
      <c r="I10" s="10">
        <f>'Open Spaces'!I20</f>
        <v>447.69851951547776</v>
      </c>
      <c r="J10" s="10">
        <f>'Open Spaces'!J20</f>
        <v>6675.3</v>
      </c>
      <c r="K10" s="10">
        <f>'Open Spaces'!K20</f>
        <v>6895.8</v>
      </c>
      <c r="L10" s="10">
        <f>'Open Spaces'!L20</f>
        <v>7091.415</v>
      </c>
      <c r="M10" s="10">
        <f>'Open Spaces'!M20</f>
        <v>7292.8984500000006</v>
      </c>
      <c r="N10" s="3"/>
      <c r="O10" s="3"/>
      <c r="P10" s="3"/>
      <c r="Q10" s="3"/>
      <c r="R10" s="3"/>
    </row>
    <row r="11" spans="2:18" x14ac:dyDescent="0.25">
      <c r="B11" s="6" t="str">
        <f>'Sparrows Nest'!B2</f>
        <v>Sparrows Nest Park &amp; Sports Ground</v>
      </c>
      <c r="C11" s="10">
        <f>'Sparrows Nest'!C23</f>
        <v>100700</v>
      </c>
      <c r="D11" s="10">
        <f>'Sparrows Nest'!D23</f>
        <v>34603.562584118445</v>
      </c>
      <c r="E11" s="10">
        <f>'Sparrows Nest'!E23</f>
        <v>30802.802153432036</v>
      </c>
      <c r="F11" s="10">
        <f>'Sparrows Nest'!F23</f>
        <v>21670.376850605651</v>
      </c>
      <c r="G11" s="10">
        <f>'Sparrows Nest'!G23</f>
        <v>18530.820995962316</v>
      </c>
      <c r="H11" s="10">
        <f>'Sparrows Nest'!H23</f>
        <v>17869.616419919243</v>
      </c>
      <c r="I11" s="10">
        <f>'Sparrows Nest'!I23</f>
        <v>8605.7604306864068</v>
      </c>
      <c r="J11" s="10">
        <f>'Sparrows Nest'!J23</f>
        <v>98945</v>
      </c>
      <c r="K11" s="10">
        <f>'Sparrows Nest'!K23</f>
        <v>102147.6</v>
      </c>
      <c r="L11" s="10">
        <f>'Sparrows Nest'!L23</f>
        <v>105002.628</v>
      </c>
      <c r="M11" s="10">
        <f>'Sparrows Nest'!M23</f>
        <v>107952.40684000001</v>
      </c>
      <c r="N11" s="3"/>
      <c r="O11" s="3"/>
      <c r="P11" s="3"/>
      <c r="Q11" s="3"/>
      <c r="R11" s="3"/>
    </row>
    <row r="12" spans="2:18" x14ac:dyDescent="0.25">
      <c r="B12" s="6" t="str">
        <f>'Belle Vue'!B2</f>
        <v xml:space="preserve">Belle Vue Park </v>
      </c>
      <c r="C12" s="10">
        <f>'Belle Vue'!C17</f>
        <v>14600</v>
      </c>
      <c r="D12" s="10">
        <f>'Belle Vue'!D17</f>
        <v>8220.5989232839838</v>
      </c>
      <c r="E12" s="10">
        <f>'Belle Vue'!E17</f>
        <v>4444</v>
      </c>
      <c r="F12" s="10">
        <f>'Belle Vue'!F17</f>
        <v>2885.5989232839838</v>
      </c>
      <c r="G12" s="10">
        <f>'Belle Vue'!G17</f>
        <v>7429.4010767160162</v>
      </c>
      <c r="H12" s="10">
        <f>'Belle Vue'!H17</f>
        <v>-891</v>
      </c>
      <c r="I12" s="10">
        <f>'Belle Vue'!I17</f>
        <v>1137.0121130551818</v>
      </c>
      <c r="J12" s="10">
        <f>'Belle Vue'!J17</f>
        <v>11830</v>
      </c>
      <c r="K12" s="10">
        <f>'Belle Vue'!K17</f>
        <v>12393</v>
      </c>
      <c r="L12" s="10">
        <f>'Belle Vue'!L17</f>
        <v>12892.89</v>
      </c>
      <c r="M12" s="10">
        <f>'Belle Vue'!M17</f>
        <v>13407.776700000002</v>
      </c>
      <c r="N12" s="3"/>
      <c r="O12" s="3"/>
      <c r="P12" s="3"/>
      <c r="Q12" s="3"/>
      <c r="R12" s="3"/>
    </row>
    <row r="13" spans="2:18" x14ac:dyDescent="0.25">
      <c r="B13" s="6" t="str">
        <f>'Kensington Gdns'!B2</f>
        <v xml:space="preserve">Kensington Gardens Park, Lake, &amp; Sports Ground </v>
      </c>
      <c r="C13" s="10">
        <f>'Kensington Gdns'!C20</f>
        <v>83300</v>
      </c>
      <c r="D13" s="10">
        <f>'Kensington Gdns'!D20</f>
        <v>43428.109017496638</v>
      </c>
      <c r="E13" s="10">
        <f>'Kensington Gdns'!E20</f>
        <v>26237</v>
      </c>
      <c r="F13" s="10">
        <f>'Kensington Gdns'!F20</f>
        <v>13772.109017496638</v>
      </c>
      <c r="G13" s="10">
        <f>'Kensington Gdns'!G20</f>
        <v>41278.890982503362</v>
      </c>
      <c r="H13" s="10">
        <f>'Kensington Gdns'!H20</f>
        <v>-3419</v>
      </c>
      <c r="I13" s="10">
        <f>'Kensington Gdns'!I20</f>
        <v>6317.5235531628532</v>
      </c>
      <c r="J13" s="10">
        <f>'Kensington Gdns'!J20</f>
        <v>83260</v>
      </c>
      <c r="K13" s="10">
        <f>'Kensington Gdns'!K20</f>
        <v>86551.65</v>
      </c>
      <c r="L13" s="10">
        <f>'Kensington Gdns'!L20</f>
        <v>89497.549499999994</v>
      </c>
      <c r="M13" s="10">
        <f>'Kensington Gdns'!M20</f>
        <v>92531.825985000003</v>
      </c>
      <c r="N13" s="3"/>
      <c r="O13" s="3"/>
      <c r="P13" s="3"/>
      <c r="Q13" s="3"/>
      <c r="R13" s="3"/>
    </row>
    <row r="14" spans="2:18" x14ac:dyDescent="0.25">
      <c r="B14" s="6" t="str">
        <f>'Play Areas'!B2</f>
        <v>Play Areas</v>
      </c>
      <c r="C14" s="10">
        <f>'Play Areas'!C33</f>
        <v>39300</v>
      </c>
      <c r="D14" s="10">
        <f>'Play Areas'!D33</f>
        <v>18505.518169582767</v>
      </c>
      <c r="E14" s="10">
        <f>'Play Areas'!E33</f>
        <v>12009.690444145352</v>
      </c>
      <c r="F14" s="10">
        <f>'Play Areas'!F33</f>
        <v>6095.8277254374179</v>
      </c>
      <c r="G14" s="10">
        <f>'Play Areas'!G33</f>
        <v>0</v>
      </c>
      <c r="H14" s="10">
        <f>'Play Areas'!H33</f>
        <v>-400</v>
      </c>
      <c r="I14" s="10">
        <f>'Play Areas'!I33</f>
        <v>0</v>
      </c>
      <c r="J14" s="10">
        <f>'Play Areas'!J33</f>
        <v>38000</v>
      </c>
      <c r="K14" s="10">
        <f>'Play Areas'!K33</f>
        <v>89309</v>
      </c>
      <c r="L14" s="10">
        <f>'Play Areas'!L33</f>
        <v>90488.27</v>
      </c>
      <c r="M14" s="10">
        <f>'Play Areas'!M33</f>
        <v>91702.91810000001</v>
      </c>
      <c r="N14" s="3"/>
      <c r="O14" s="3"/>
      <c r="P14" s="3"/>
      <c r="Q14" s="3"/>
      <c r="R14" s="3"/>
    </row>
    <row r="15" spans="2:18" x14ac:dyDescent="0.25">
      <c r="B15" s="6" t="str">
        <f>'Denes Oval'!B2</f>
        <v>Denes Oval</v>
      </c>
      <c r="C15" s="10">
        <f>'Denes Oval'!C19</f>
        <v>76000</v>
      </c>
      <c r="D15" s="10">
        <f>'Denes Oval'!D19</f>
        <v>40857.009421265146</v>
      </c>
      <c r="E15" s="10">
        <f>'Denes Oval'!E19</f>
        <v>29719</v>
      </c>
      <c r="F15" s="10">
        <f>'Denes Oval'!F19</f>
        <v>14280.009421265142</v>
      </c>
      <c r="G15" s="10">
        <f>'Denes Oval'!G19</f>
        <v>38492.990578734854</v>
      </c>
      <c r="H15" s="10">
        <f>'Denes Oval'!H19</f>
        <v>3142</v>
      </c>
      <c r="I15" s="10">
        <f>'Denes Oval'!I19</f>
        <v>5891.1440107671588</v>
      </c>
      <c r="J15" s="10">
        <f>'Denes Oval'!J19</f>
        <v>76095</v>
      </c>
      <c r="K15" s="10">
        <f>'Denes Oval'!K19</f>
        <v>79089.350000000006</v>
      </c>
      <c r="L15" s="10">
        <f>'Denes Oval'!L19</f>
        <v>81759.030499999993</v>
      </c>
      <c r="M15" s="10">
        <f>'Denes Oval'!M19</f>
        <v>84508.801415000009</v>
      </c>
      <c r="N15" s="3"/>
      <c r="O15" s="3"/>
      <c r="P15" s="3"/>
      <c r="Q15" s="3"/>
      <c r="R15" s="3"/>
    </row>
    <row r="16" spans="2:18" x14ac:dyDescent="0.25">
      <c r="B16" s="6" t="str">
        <f>'Normanston Park'!B2</f>
        <v>Normanston Park</v>
      </c>
      <c r="C16" s="10">
        <f>'Normanston Park'!C18</f>
        <v>87300</v>
      </c>
      <c r="D16" s="10">
        <f>'Normanston Park'!D18</f>
        <v>45610.948855989234</v>
      </c>
      <c r="E16" s="10">
        <f>'Normanston Park'!E18</f>
        <v>26526</v>
      </c>
      <c r="F16" s="10">
        <f>'Normanston Park'!F18</f>
        <v>15509.948855989234</v>
      </c>
      <c r="G16" s="10">
        <f>'Normanston Park'!G18</f>
        <v>42394.051144010766</v>
      </c>
      <c r="H16" s="10">
        <f>'Normanston Park'!H18</f>
        <v>-3575</v>
      </c>
      <c r="I16" s="10">
        <f>'Normanston Park'!I18</f>
        <v>6488.0753701211306</v>
      </c>
      <c r="J16" s="10">
        <f>'Normanston Park'!J18</f>
        <v>85350</v>
      </c>
      <c r="K16" s="10">
        <f>'Normanston Park'!K18</f>
        <v>88692.499999999985</v>
      </c>
      <c r="L16" s="10">
        <f>'Normanston Park'!L18</f>
        <v>91678.774999999994</v>
      </c>
      <c r="M16" s="10">
        <f>'Normanston Park'!M18</f>
        <v>94754.638249999989</v>
      </c>
      <c r="N16" s="3"/>
      <c r="O16" s="3"/>
      <c r="P16" s="3"/>
      <c r="Q16" s="3"/>
      <c r="R16" s="3"/>
    </row>
    <row r="17" spans="2:18" x14ac:dyDescent="0.25">
      <c r="B17" s="18" t="str">
        <f>'Pakefield St PC'!B2</f>
        <v>Pakefield Street Public Convenience</v>
      </c>
      <c r="C17" s="10">
        <f>'Pakefield St PC'!C16</f>
        <v>7800</v>
      </c>
      <c r="D17" s="10">
        <f>'Pakefield St PC'!D16</f>
        <v>4507.029609690444</v>
      </c>
      <c r="E17" s="10">
        <f>'Pakefield St PC'!E16</f>
        <v>3464</v>
      </c>
      <c r="F17" s="10">
        <f>'Pakefield St PC'!F16</f>
        <v>1207.029609690444</v>
      </c>
      <c r="G17" s="10">
        <f>'Pakefield St PC'!G16</f>
        <v>2692.970390309556</v>
      </c>
      <c r="H17" s="10">
        <f>'Pakefield St PC'!H16</f>
        <v>164</v>
      </c>
      <c r="I17" s="10">
        <f>'Pakefield St PC'!I16</f>
        <v>412.16689098250333</v>
      </c>
      <c r="J17" s="10">
        <f>'Pakefield St PC'!J16</f>
        <v>7942</v>
      </c>
      <c r="K17" s="10">
        <f>'Pakefield St PC'!K16</f>
        <v>8303</v>
      </c>
      <c r="L17" s="10">
        <f>'Pakefield St PC'!L16</f>
        <v>8553.99</v>
      </c>
      <c r="M17" s="10">
        <f>'Pakefield St PC'!M16</f>
        <v>8811.309699999998</v>
      </c>
      <c r="N17" s="3"/>
      <c r="O17" s="3"/>
      <c r="P17" s="3"/>
      <c r="Q17" s="3"/>
      <c r="R17" s="3"/>
    </row>
    <row r="18" spans="2:18" x14ac:dyDescent="0.25">
      <c r="B18" s="6" t="str">
        <f>'The Triangle PC'!B2</f>
        <v>The Triangle Public Convenience</v>
      </c>
      <c r="C18" s="10">
        <f>'The Triangle PC'!C15</f>
        <v>9500</v>
      </c>
      <c r="D18" s="10">
        <f>'The Triangle PC'!D15</f>
        <v>5235.3095558546429</v>
      </c>
      <c r="E18" s="10">
        <f>'The Triangle PC'!E15</f>
        <v>3440</v>
      </c>
      <c r="F18" s="10">
        <f>'The Triangle PC'!F15</f>
        <v>1190.3095558546433</v>
      </c>
      <c r="G18" s="10">
        <f>'The Triangle PC'!G15</f>
        <v>3064.6904441453571</v>
      </c>
      <c r="H18" s="10">
        <f>'The Triangle PC'!H15</f>
        <v>-605</v>
      </c>
      <c r="I18" s="10">
        <f>'The Triangle PC'!I15</f>
        <v>469.01749663526238</v>
      </c>
      <c r="J18" s="10">
        <f>'The Triangle PC'!J15</f>
        <v>9495</v>
      </c>
      <c r="K18" s="10">
        <f>'The Triangle PC'!K15</f>
        <v>9975</v>
      </c>
      <c r="L18" s="10">
        <f>'The Triangle PC'!L15</f>
        <v>10265.549999999999</v>
      </c>
      <c r="M18" s="10">
        <f>'The Triangle PC'!M15</f>
        <v>10573.916499999999</v>
      </c>
      <c r="N18" s="3"/>
      <c r="O18" s="3"/>
      <c r="P18" s="3"/>
      <c r="Q18" s="3"/>
      <c r="R18" s="3"/>
    </row>
    <row r="19" spans="2:18" x14ac:dyDescent="0.25">
      <c r="B19" s="6" t="str">
        <f>'Kn Gdns PC'!B2</f>
        <v>Kensington Gardens Public Convenience</v>
      </c>
      <c r="C19" s="10">
        <f>'Kn Gdns PC'!C17</f>
        <v>21800</v>
      </c>
      <c r="D19" s="10">
        <f>'Kn Gdns PC'!D17</f>
        <v>12542.578734858682</v>
      </c>
      <c r="E19" s="10">
        <f>'Kn Gdns PC'!E17</f>
        <v>8709</v>
      </c>
      <c r="F19" s="10">
        <f>'Kn Gdns PC'!F17</f>
        <v>3458.5787348586809</v>
      </c>
      <c r="G19" s="10">
        <f>'Kn Gdns PC'!G17</f>
        <v>8729.4212651413181</v>
      </c>
      <c r="H19" s="10">
        <f>'Kn Gdns PC'!H17</f>
        <v>-375</v>
      </c>
      <c r="I19" s="10">
        <f>'Kn Gdns PC'!I17</f>
        <v>1335.9892328398385</v>
      </c>
      <c r="J19" s="10">
        <f>'Kn Gdns PC'!J17</f>
        <v>22117</v>
      </c>
      <c r="K19" s="10">
        <f>'Kn Gdns PC'!K17</f>
        <v>23118.799999999999</v>
      </c>
      <c r="L19" s="10">
        <f>'Kn Gdns PC'!L17</f>
        <v>23814.564000000002</v>
      </c>
      <c r="M19" s="10">
        <f>'Kn Gdns PC'!M17</f>
        <v>24529.100920000001</v>
      </c>
      <c r="N19" s="3"/>
      <c r="O19" s="3"/>
      <c r="P19" s="3"/>
      <c r="Q19" s="3"/>
      <c r="R19" s="3"/>
    </row>
    <row r="20" spans="2:18" x14ac:dyDescent="0.25">
      <c r="B20" s="6" t="str">
        <f>'Kirkley Cliff Rd PC'!B2</f>
        <v>Kirkley Cliff Road Public Convenience</v>
      </c>
      <c r="C20" s="10">
        <f>'Kirkley Cliff Rd PC'!C16</f>
        <v>6200</v>
      </c>
      <c r="D20" s="10">
        <f>'Kirkley Cliff Rd PC'!D16</f>
        <v>3321.1695827725434</v>
      </c>
      <c r="E20" s="10">
        <f>'Kirkley Cliff Rd PC'!E16</f>
        <v>2203</v>
      </c>
      <c r="F20" s="10">
        <f>'Kirkley Cliff Rd PC'!F16</f>
        <v>1118.1695827725437</v>
      </c>
      <c r="G20" s="10">
        <f>'Kirkley Cliff Rd PC'!G16</f>
        <v>2878.8304172274566</v>
      </c>
      <c r="H20" s="10">
        <f>'Kirkley Cliff Rd PC'!H16</f>
        <v>0</v>
      </c>
      <c r="I20" s="10">
        <f>'Kirkley Cliff Rd PC'!I16</f>
        <v>440.592193808883</v>
      </c>
      <c r="J20" s="10">
        <f>'Kirkley Cliff Rd PC'!J16</f>
        <v>6200</v>
      </c>
      <c r="K20" s="10">
        <f>'Kirkley Cliff Rd PC'!K16</f>
        <v>6416.9999999999991</v>
      </c>
      <c r="L20" s="10">
        <f>'Kirkley Cliff Rd PC'!L16</f>
        <v>6609.5099999999993</v>
      </c>
      <c r="M20" s="10">
        <f>'Kirkley Cliff Rd PC'!M16</f>
        <v>6807.7952999999998</v>
      </c>
      <c r="N20" s="3"/>
      <c r="O20" s="3"/>
      <c r="P20" s="3"/>
      <c r="Q20" s="3"/>
      <c r="R20" s="3"/>
    </row>
    <row r="21" spans="2:18" x14ac:dyDescent="0.25">
      <c r="B21" s="6" t="str">
        <f>'Low Cemetery PC'!B2</f>
        <v>Lowestoft Cemetery Public Convenience</v>
      </c>
      <c r="C21" s="10">
        <f>'Low Cemetery PC'!C16</f>
        <v>6500</v>
      </c>
      <c r="D21" s="10">
        <f>'Low Cemetery PC'!D16</f>
        <v>3417.029609690444</v>
      </c>
      <c r="E21" s="10">
        <f>'Low Cemetery PC'!E16</f>
        <v>2187</v>
      </c>
      <c r="F21" s="10">
        <f>'Low Cemetery PC'!F16</f>
        <v>1130.029609690444</v>
      </c>
      <c r="G21" s="10">
        <f>'Low Cemetery PC'!G16</f>
        <v>2692.970390309556</v>
      </c>
      <c r="H21" s="10">
        <f>'Low Cemetery PC'!H16</f>
        <v>-100</v>
      </c>
      <c r="I21" s="10">
        <f>'Low Cemetery PC'!I16</f>
        <v>412.16689098250333</v>
      </c>
      <c r="J21" s="10">
        <f>'Low Cemetery PC'!J16</f>
        <v>6480</v>
      </c>
      <c r="K21" s="10">
        <f>'Low Cemetery PC'!K16</f>
        <v>6703.4</v>
      </c>
      <c r="L21" s="10">
        <f>'Low Cemetery PC'!L16</f>
        <v>6904.5019999999995</v>
      </c>
      <c r="M21" s="10">
        <f>'Low Cemetery PC'!M16</f>
        <v>7111.6370599999991</v>
      </c>
      <c r="N21" s="3"/>
      <c r="O21" s="3"/>
      <c r="P21" s="3"/>
      <c r="Q21" s="3"/>
      <c r="R21" s="3"/>
    </row>
    <row r="22" spans="2:18" x14ac:dyDescent="0.25">
      <c r="B22" s="6" t="str">
        <f>Miscellaneous!B2</f>
        <v>Miscellaneous &amp; Reserve Contributions</v>
      </c>
      <c r="C22" s="10">
        <f>Miscellaneous!C22</f>
        <v>18800</v>
      </c>
      <c r="D22" s="10">
        <f>Miscellaneous!D22</f>
        <v>1749.7308209959624</v>
      </c>
      <c r="E22" s="10">
        <f>Miscellaneous!E22</f>
        <v>689.77119784656793</v>
      </c>
      <c r="F22" s="10">
        <f>Miscellaneous!F22</f>
        <v>1009.9596231493944</v>
      </c>
      <c r="G22" s="10">
        <f>Miscellaneous!G22</f>
        <v>2600.2691790040376</v>
      </c>
      <c r="H22" s="10">
        <f>Miscellaneous!H22</f>
        <v>-50</v>
      </c>
      <c r="I22" s="10">
        <f>Miscellaneous!I22</f>
        <v>397.95423956931359</v>
      </c>
      <c r="J22" s="10">
        <f>Miscellaneous!J22</f>
        <v>18750</v>
      </c>
      <c r="K22" s="10">
        <f>Miscellaneous!K22</f>
        <v>18918</v>
      </c>
      <c r="L22" s="10">
        <f>Miscellaneous!L22</f>
        <v>19091.04</v>
      </c>
      <c r="M22" s="10">
        <f>Miscellaneous!M22</f>
        <v>19269.271199999999</v>
      </c>
      <c r="N22" s="3"/>
      <c r="O22" s="3"/>
      <c r="P22" s="3"/>
      <c r="Q22" s="3"/>
      <c r="R22" s="3"/>
    </row>
    <row r="23" spans="2:18" x14ac:dyDescent="0.25">
      <c r="B23" s="6" t="str">
        <f>'Town Hall'!B2</f>
        <v>Town Hall</v>
      </c>
      <c r="C23" s="10">
        <f>'Town Hall'!C29</f>
        <v>86120</v>
      </c>
      <c r="D23" s="10">
        <f>'Town Hall'!D29</f>
        <v>16430</v>
      </c>
      <c r="E23" s="10">
        <f>'Town Hall'!E29</f>
        <v>2519</v>
      </c>
      <c r="F23" s="10">
        <f>'Town Hall'!F29</f>
        <v>2324</v>
      </c>
      <c r="G23" s="10">
        <f>'Town Hall'!G29</f>
        <v>0</v>
      </c>
      <c r="H23" s="10">
        <f>'Town Hall'!H29</f>
        <v>-11587</v>
      </c>
      <c r="I23" s="10">
        <f>'Town Hall'!I29</f>
        <v>0</v>
      </c>
      <c r="J23" s="10">
        <f>'Town Hall'!J29</f>
        <v>18330</v>
      </c>
      <c r="K23" s="10">
        <f>'Town Hall'!K29</f>
        <v>64775.9</v>
      </c>
      <c r="L23" s="10">
        <f>'Town Hall'!L29</f>
        <v>66719.176999999996</v>
      </c>
      <c r="M23" s="10">
        <f>'Town Hall'!M29</f>
        <v>68720.752309999996</v>
      </c>
      <c r="N23" s="3"/>
      <c r="O23" s="3"/>
      <c r="P23" s="3"/>
      <c r="Q23" s="3"/>
      <c r="R23" s="3"/>
    </row>
    <row r="24" spans="2:18" x14ac:dyDescent="0.25">
      <c r="B24" s="6" t="str">
        <f>Administration!B2</f>
        <v>Administration</v>
      </c>
      <c r="C24" s="10">
        <f>Administration!C52</f>
        <v>455260</v>
      </c>
      <c r="D24" s="10">
        <f>Administration!D52</f>
        <v>199960</v>
      </c>
      <c r="E24" s="10">
        <f>Administration!E52</f>
        <v>49442</v>
      </c>
      <c r="F24" s="10">
        <f>Administration!F52</f>
        <v>0</v>
      </c>
      <c r="G24" s="10">
        <f>Administration!G52</f>
        <v>0</v>
      </c>
      <c r="H24" s="10">
        <f>Administration!H52</f>
        <v>-150518</v>
      </c>
      <c r="I24" s="10">
        <f>Administration!I52</f>
        <v>2425</v>
      </c>
      <c r="J24" s="10">
        <f>Administration!J52</f>
        <v>220497.5</v>
      </c>
      <c r="K24" s="10">
        <f>Administration!K52</f>
        <v>463681.8</v>
      </c>
      <c r="L24" s="10">
        <f>Administration!L52</f>
        <v>464510.75400000002</v>
      </c>
      <c r="M24" s="10">
        <f>Administration!M52</f>
        <v>465364.57662000001</v>
      </c>
      <c r="N24" s="3"/>
      <c r="O24" s="3"/>
      <c r="P24" s="3"/>
      <c r="Q24" s="3"/>
      <c r="R24" s="3"/>
    </row>
    <row r="25" spans="2:18" x14ac:dyDescent="0.25">
      <c r="B25" s="6"/>
      <c r="C25" s="13"/>
      <c r="D25" s="10"/>
      <c r="E25" s="10"/>
      <c r="F25" s="10"/>
      <c r="G25" s="10"/>
      <c r="H25" s="13"/>
      <c r="I25" s="13"/>
      <c r="J25" s="13"/>
      <c r="K25" s="13"/>
      <c r="L25" s="13"/>
      <c r="M25" s="13"/>
      <c r="N25" s="3"/>
      <c r="O25" s="3"/>
      <c r="P25" s="3"/>
      <c r="Q25" s="3"/>
      <c r="R25" s="3"/>
    </row>
    <row r="26" spans="2:18" x14ac:dyDescent="0.25">
      <c r="B26" s="6" t="s">
        <v>121</v>
      </c>
      <c r="C26" s="10">
        <f>SUM(C4:C25)</f>
        <v>1392280</v>
      </c>
      <c r="D26" s="10">
        <f t="shared" ref="D26:M26" si="0">SUM(D4:D25)</f>
        <v>735502.13997308211</v>
      </c>
      <c r="E26" s="10">
        <f t="shared" si="0"/>
        <v>296424.75639300136</v>
      </c>
      <c r="F26" s="10">
        <f t="shared" si="0"/>
        <v>282698.99999999994</v>
      </c>
      <c r="G26" s="10">
        <f t="shared" si="0"/>
        <v>291604.76177658141</v>
      </c>
      <c r="H26" s="10">
        <f t="shared" si="0"/>
        <v>-156378.38358008076</v>
      </c>
      <c r="I26" s="10">
        <f t="shared" si="0"/>
        <v>52823.061911170924</v>
      </c>
      <c r="J26" s="10">
        <f>SUM(J4:J25)</f>
        <v>1041161.8</v>
      </c>
      <c r="K26" s="10">
        <f t="shared" si="0"/>
        <v>1412073.1500000001</v>
      </c>
      <c r="L26" s="10">
        <f t="shared" si="0"/>
        <v>1437988.0355000002</v>
      </c>
      <c r="M26" s="10">
        <f t="shared" si="0"/>
        <v>1464695.2675650001</v>
      </c>
      <c r="N26" s="3"/>
      <c r="O26" s="3"/>
      <c r="P26" s="3"/>
      <c r="Q26" s="3"/>
      <c r="R26" s="3"/>
    </row>
    <row r="27" spans="2:18" x14ac:dyDescent="0.2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2:18" x14ac:dyDescent="0.25">
      <c r="B28" s="160" t="s">
        <v>141</v>
      </c>
      <c r="C28" s="10">
        <v>-1392280</v>
      </c>
      <c r="D28" s="10">
        <v>-1392280</v>
      </c>
      <c r="E28" s="10">
        <v>-1392280</v>
      </c>
      <c r="F28" s="160">
        <v>0</v>
      </c>
      <c r="G28" s="10">
        <v>0</v>
      </c>
      <c r="H28" s="10">
        <v>0</v>
      </c>
      <c r="I28" s="10">
        <v>0</v>
      </c>
      <c r="J28" s="10">
        <v>-1392280</v>
      </c>
      <c r="K28" s="10">
        <f>-K26</f>
        <v>-1412073.1500000001</v>
      </c>
      <c r="L28" s="10">
        <f t="shared" ref="L28:M28" si="1">-L26</f>
        <v>-1437988.0355000002</v>
      </c>
      <c r="M28" s="10">
        <f t="shared" si="1"/>
        <v>-1464695.2675650001</v>
      </c>
    </row>
    <row r="29" spans="2:18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2:18" x14ac:dyDescent="0.25">
      <c r="B30" s="34" t="s">
        <v>165</v>
      </c>
      <c r="C30" s="34">
        <f>C26+C28</f>
        <v>0</v>
      </c>
      <c r="D30" s="34"/>
      <c r="E30" s="34"/>
      <c r="F30" s="34"/>
      <c r="G30" s="34"/>
      <c r="H30" s="34"/>
      <c r="I30" s="34"/>
      <c r="J30" s="34">
        <f t="shared" ref="J30:M30" si="2">J26+J28</f>
        <v>-351118.19999999995</v>
      </c>
      <c r="K30" s="34">
        <f t="shared" si="2"/>
        <v>0</v>
      </c>
      <c r="L30" s="34">
        <f t="shared" si="2"/>
        <v>0</v>
      </c>
      <c r="M30" s="34">
        <f t="shared" si="2"/>
        <v>0</v>
      </c>
    </row>
    <row r="31" spans="2:18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2:18" x14ac:dyDescent="0.25">
      <c r="B32" s="34" t="s">
        <v>166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2:23" x14ac:dyDescent="0.25">
      <c r="B33" s="34" t="s">
        <v>167</v>
      </c>
      <c r="C33" s="34">
        <v>-9480</v>
      </c>
      <c r="D33" s="34"/>
      <c r="E33" s="34"/>
      <c r="F33" s="34"/>
      <c r="G33" s="34"/>
      <c r="H33" s="34"/>
      <c r="I33" s="34"/>
      <c r="J33" s="34">
        <v>-9480</v>
      </c>
      <c r="K33" s="34">
        <f>J34</f>
        <v>-360598.19999999995</v>
      </c>
      <c r="L33" s="34">
        <f t="shared" ref="L33:M33" si="3">K34</f>
        <v>-360598.19999999995</v>
      </c>
      <c r="M33" s="34">
        <f t="shared" si="3"/>
        <v>-360598.19999999995</v>
      </c>
    </row>
    <row r="34" spans="2:23" x14ac:dyDescent="0.25">
      <c r="B34" s="34" t="s">
        <v>168</v>
      </c>
      <c r="C34" s="34">
        <f>C33+C30</f>
        <v>-9480</v>
      </c>
      <c r="D34" s="34"/>
      <c r="E34" s="34"/>
      <c r="F34" s="34"/>
      <c r="G34" s="34"/>
      <c r="H34" s="34"/>
      <c r="I34" s="34"/>
      <c r="J34" s="34">
        <f>J33+J30</f>
        <v>-360598.19999999995</v>
      </c>
      <c r="K34" s="34">
        <f>K33+K30</f>
        <v>-360598.19999999995</v>
      </c>
      <c r="L34" s="34">
        <f t="shared" ref="L34:M34" si="4">L33+L30</f>
        <v>-360598.19999999995</v>
      </c>
      <c r="M34" s="34">
        <f t="shared" si="4"/>
        <v>-360598.19999999995</v>
      </c>
    </row>
    <row r="36" spans="2:23" x14ac:dyDescent="0.25">
      <c r="V36" s="161"/>
    </row>
    <row r="37" spans="2:23" x14ac:dyDescent="0.25">
      <c r="B37" s="1" t="s">
        <v>122</v>
      </c>
      <c r="C37" s="29"/>
      <c r="D37" s="29"/>
      <c r="E37" s="29"/>
    </row>
    <row r="38" spans="2:23" x14ac:dyDescent="0.25">
      <c r="B38" s="24"/>
      <c r="C38" s="29"/>
      <c r="D38" s="29"/>
      <c r="E38" s="29"/>
    </row>
    <row r="39" spans="2:23" x14ac:dyDescent="0.25">
      <c r="B39" s="6" t="s">
        <v>123</v>
      </c>
      <c r="C39" s="27">
        <v>12173.9</v>
      </c>
      <c r="D39" s="29"/>
      <c r="E39" s="29"/>
      <c r="K39" s="27">
        <v>12413.92</v>
      </c>
      <c r="L39" s="27">
        <f>K39*1.005</f>
        <v>12475.989599999999</v>
      </c>
      <c r="M39" s="27">
        <f>L39*1.005</f>
        <v>12538.369547999997</v>
      </c>
    </row>
    <row r="40" spans="2:23" x14ac:dyDescent="0.25">
      <c r="B40" s="29"/>
      <c r="C40" s="29"/>
      <c r="D40" s="29"/>
      <c r="E40" s="29"/>
    </row>
    <row r="41" spans="2:23" ht="30" x14ac:dyDescent="0.25">
      <c r="B41" s="6" t="s">
        <v>124</v>
      </c>
      <c r="C41" s="4" t="s">
        <v>125</v>
      </c>
      <c r="D41" s="4" t="s">
        <v>126</v>
      </c>
      <c r="E41" s="4" t="s">
        <v>127</v>
      </c>
      <c r="K41" s="4" t="s">
        <v>164</v>
      </c>
      <c r="L41" s="4" t="s">
        <v>169</v>
      </c>
      <c r="M41" s="4" t="s">
        <v>170</v>
      </c>
    </row>
    <row r="42" spans="2:23" x14ac:dyDescent="0.25">
      <c r="B42" s="7" t="s">
        <v>128</v>
      </c>
      <c r="C42" s="30">
        <f>C45*(6/9)</f>
        <v>76.243986451890237</v>
      </c>
      <c r="D42" s="30">
        <f>C42/12</f>
        <v>6.3536655376575197</v>
      </c>
      <c r="E42" s="30">
        <f>C42/52</f>
        <v>1.4662305086901968</v>
      </c>
      <c r="K42" s="30">
        <f>K45*(6/9)</f>
        <v>75.832782875997268</v>
      </c>
      <c r="L42" s="30">
        <f t="shared" ref="L42:M42" si="5">L45*(6/9)</f>
        <v>76.840292519427351</v>
      </c>
      <c r="M42" s="30">
        <f t="shared" si="5"/>
        <v>77.878029353964635</v>
      </c>
    </row>
    <row r="43" spans="2:23" x14ac:dyDescent="0.25">
      <c r="B43" s="7" t="s">
        <v>129</v>
      </c>
      <c r="C43" s="30">
        <f>C45*(7/9)</f>
        <v>88.951317527205291</v>
      </c>
      <c r="D43" s="30">
        <f t="shared" ref="D43:D49" si="6">C43/12</f>
        <v>7.4126097939337745</v>
      </c>
      <c r="E43" s="30">
        <f t="shared" ref="E43:E49" si="7">C43/52</f>
        <v>1.7106022601385633</v>
      </c>
      <c r="K43" s="30">
        <f>K45*(7/9)</f>
        <v>88.471580021996814</v>
      </c>
      <c r="L43" s="30">
        <f t="shared" ref="L43:M43" si="8">L45*(7/9)</f>
        <v>89.647007939331928</v>
      </c>
      <c r="M43" s="30">
        <f t="shared" si="8"/>
        <v>90.857700912958748</v>
      </c>
    </row>
    <row r="44" spans="2:23" x14ac:dyDescent="0.25">
      <c r="B44" s="7" t="s">
        <v>130</v>
      </c>
      <c r="C44" s="30">
        <f>C45*(8/9)</f>
        <v>101.65864860252032</v>
      </c>
      <c r="D44" s="30">
        <f t="shared" si="6"/>
        <v>8.4715540502100257</v>
      </c>
      <c r="E44" s="30">
        <f t="shared" si="7"/>
        <v>1.9549740115869292</v>
      </c>
      <c r="K44" s="30">
        <f>K45*(8/9)</f>
        <v>101.11037716799636</v>
      </c>
      <c r="L44" s="30">
        <f t="shared" ref="L44:M44" si="9">L45*(8/9)</f>
        <v>102.45372335923648</v>
      </c>
      <c r="M44" s="30">
        <f t="shared" si="9"/>
        <v>103.83737247195285</v>
      </c>
    </row>
    <row r="45" spans="2:23" x14ac:dyDescent="0.25">
      <c r="B45" s="6" t="s">
        <v>131</v>
      </c>
      <c r="C45" s="28">
        <f>C26/C39</f>
        <v>114.36597967783537</v>
      </c>
      <c r="D45" s="28">
        <f t="shared" si="6"/>
        <v>9.5304983064862814</v>
      </c>
      <c r="E45" s="28">
        <f t="shared" si="7"/>
        <v>2.1993457630352955</v>
      </c>
      <c r="K45" s="28">
        <f>K26/K39</f>
        <v>113.74917431399591</v>
      </c>
      <c r="L45" s="28">
        <f t="shared" ref="L45:M45" si="10">L26/L39</f>
        <v>115.26043877914104</v>
      </c>
      <c r="M45" s="28">
        <f t="shared" si="10"/>
        <v>116.81704403094696</v>
      </c>
      <c r="V45" s="162"/>
      <c r="W45" s="163"/>
    </row>
    <row r="46" spans="2:23" x14ac:dyDescent="0.25">
      <c r="B46" s="7" t="s">
        <v>132</v>
      </c>
      <c r="C46" s="30">
        <f>C45*(11/9)</f>
        <v>139.78064182846546</v>
      </c>
      <c r="D46" s="30">
        <f t="shared" si="6"/>
        <v>11.648386819038789</v>
      </c>
      <c r="E46" s="30">
        <f t="shared" si="7"/>
        <v>2.6880892659320281</v>
      </c>
      <c r="K46" s="30">
        <f>K45*(11/9)</f>
        <v>139.02676860599502</v>
      </c>
      <c r="L46" s="30">
        <f t="shared" ref="L46:M46" si="11">L45*(11/9)</f>
        <v>140.87386961895018</v>
      </c>
      <c r="M46" s="30">
        <f t="shared" si="11"/>
        <v>142.77638714893519</v>
      </c>
    </row>
    <row r="47" spans="2:23" x14ac:dyDescent="0.25">
      <c r="B47" s="7" t="s">
        <v>133</v>
      </c>
      <c r="C47" s="30">
        <f>C45*(13/9)</f>
        <v>165.19530397909554</v>
      </c>
      <c r="D47" s="30">
        <f t="shared" si="6"/>
        <v>13.766275331591295</v>
      </c>
      <c r="E47" s="30">
        <f t="shared" si="7"/>
        <v>3.1768327688287603</v>
      </c>
      <c r="K47" s="30">
        <f>K45*(13/9)</f>
        <v>164.30436289799408</v>
      </c>
      <c r="L47" s="30">
        <f t="shared" ref="L47:M47" si="12">L45*(13/9)</f>
        <v>166.48730045875928</v>
      </c>
      <c r="M47" s="30">
        <f t="shared" si="12"/>
        <v>168.73573026692338</v>
      </c>
    </row>
    <row r="48" spans="2:23" x14ac:dyDescent="0.25">
      <c r="B48" s="7" t="s">
        <v>134</v>
      </c>
      <c r="C48" s="30">
        <f>C45*(15/9)</f>
        <v>190.60996612972562</v>
      </c>
      <c r="D48" s="30">
        <f t="shared" si="6"/>
        <v>15.884163844143801</v>
      </c>
      <c r="E48" s="30">
        <f t="shared" si="7"/>
        <v>3.6655762717254925</v>
      </c>
      <c r="K48" s="30">
        <f>K45*(15/9)</f>
        <v>189.58195718999318</v>
      </c>
      <c r="L48" s="30">
        <f t="shared" ref="L48:M48" si="13">L45*(15/9)</f>
        <v>192.10073129856841</v>
      </c>
      <c r="M48" s="30">
        <f t="shared" si="13"/>
        <v>194.69507338491161</v>
      </c>
    </row>
    <row r="49" spans="2:13" x14ac:dyDescent="0.25">
      <c r="B49" s="7" t="s">
        <v>135</v>
      </c>
      <c r="C49" s="30">
        <f>C45*(18/9)</f>
        <v>228.73195935567074</v>
      </c>
      <c r="D49" s="30">
        <f t="shared" si="6"/>
        <v>19.060996612972563</v>
      </c>
      <c r="E49" s="30">
        <f t="shared" si="7"/>
        <v>4.398691526070591</v>
      </c>
      <c r="K49" s="30">
        <f>K45*(18/9)</f>
        <v>227.49834862799182</v>
      </c>
      <c r="L49" s="30">
        <f t="shared" ref="L49:M49" si="14">L45*(18/9)</f>
        <v>230.52087755828208</v>
      </c>
      <c r="M49" s="30">
        <f t="shared" si="14"/>
        <v>233.63408806189392</v>
      </c>
    </row>
    <row r="51" spans="2:13" x14ac:dyDescent="0.25">
      <c r="B51" s="2"/>
    </row>
    <row r="54" spans="2:13" x14ac:dyDescent="0.25">
      <c r="D54" s="36"/>
    </row>
  </sheetData>
  <pageMargins left="0.7" right="0.7" top="0.75" bottom="0.75" header="0.3" footer="0.3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T19"/>
  <sheetViews>
    <sheetView workbookViewId="0">
      <selection activeCell="B19" sqref="B19:X23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71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4"/>
      <c r="D4" s="14"/>
      <c r="E4" s="14"/>
      <c r="F4" s="4"/>
      <c r="G4" s="4"/>
      <c r="H4" s="4"/>
      <c r="I4" s="4"/>
      <c r="J4" s="4"/>
      <c r="K4" s="14"/>
      <c r="L4" s="14"/>
      <c r="M4" s="14"/>
      <c r="N4" s="2"/>
      <c r="O4" s="2"/>
      <c r="P4" s="2"/>
      <c r="Q4" s="2"/>
      <c r="R4" s="2"/>
    </row>
    <row r="5" spans="2:20" x14ac:dyDescent="0.25">
      <c r="B5" s="7" t="s">
        <v>81</v>
      </c>
      <c r="C5" s="13">
        <v>100</v>
      </c>
      <c r="D5" s="10"/>
      <c r="E5" s="10"/>
      <c r="F5" s="10"/>
      <c r="G5" s="10"/>
      <c r="H5" s="13">
        <f t="shared" ref="H5" si="0">E5+F5-D5</f>
        <v>0</v>
      </c>
      <c r="I5" s="13"/>
      <c r="J5" s="13">
        <v>100</v>
      </c>
      <c r="K5" s="13">
        <f t="shared" ref="K5:M5" si="1">J5*1.03</f>
        <v>103</v>
      </c>
      <c r="L5" s="13">
        <f t="shared" si="1"/>
        <v>106.09</v>
      </c>
      <c r="M5" s="13">
        <f t="shared" si="1"/>
        <v>109.2727</v>
      </c>
      <c r="N5" s="3"/>
      <c r="O5" s="3"/>
      <c r="P5" s="3"/>
      <c r="Q5" s="3"/>
      <c r="R5" s="3"/>
    </row>
    <row r="6" spans="2:20" x14ac:dyDescent="0.25">
      <c r="B6" s="6" t="s">
        <v>80</v>
      </c>
      <c r="C6" s="10">
        <f t="shared" ref="C6:M6" si="2">SUM(C5:C5)</f>
        <v>100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0">
        <f t="shared" si="2"/>
        <v>0</v>
      </c>
      <c r="H6" s="10">
        <f t="shared" si="2"/>
        <v>0</v>
      </c>
      <c r="I6" s="10">
        <f t="shared" si="2"/>
        <v>0</v>
      </c>
      <c r="J6" s="10">
        <f t="shared" si="2"/>
        <v>100</v>
      </c>
      <c r="K6" s="10">
        <f t="shared" si="2"/>
        <v>103</v>
      </c>
      <c r="L6" s="10">
        <f t="shared" si="2"/>
        <v>106.09</v>
      </c>
      <c r="M6" s="10">
        <f t="shared" si="2"/>
        <v>109.2727</v>
      </c>
      <c r="N6" s="3"/>
      <c r="O6" s="3"/>
      <c r="P6" s="3"/>
      <c r="Q6" s="3"/>
      <c r="R6" s="3"/>
    </row>
    <row r="7" spans="2:20" x14ac:dyDescent="0.2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3"/>
      <c r="P7" s="3"/>
      <c r="Q7" s="3"/>
      <c r="R7" s="3"/>
    </row>
    <row r="8" spans="2:20" x14ac:dyDescent="0.25">
      <c r="B8" s="7" t="s">
        <v>92</v>
      </c>
      <c r="C8" s="16">
        <v>16000</v>
      </c>
      <c r="D8" s="13">
        <f>E8+F8</f>
        <v>8570.5989232839838</v>
      </c>
      <c r="E8" s="13">
        <v>5685</v>
      </c>
      <c r="F8" s="13">
        <v>2885.5989232839838</v>
      </c>
      <c r="G8" s="13">
        <f>J8-F8-E8</f>
        <v>7429.4010767160162</v>
      </c>
      <c r="H8" s="13">
        <f t="shared" ref="H8" si="3">E8+F8-D8</f>
        <v>0</v>
      </c>
      <c r="I8" s="13">
        <v>1137.0121130551818</v>
      </c>
      <c r="J8" s="16">
        <v>16000</v>
      </c>
      <c r="K8" s="13">
        <f>J8*1.035</f>
        <v>16560</v>
      </c>
      <c r="L8" s="13">
        <f t="shared" ref="L8:M8" si="4">K8*1.03</f>
        <v>17056.8</v>
      </c>
      <c r="M8" s="13">
        <f t="shared" si="4"/>
        <v>17568.504000000001</v>
      </c>
      <c r="N8" s="3"/>
      <c r="O8" s="3"/>
      <c r="P8" s="3"/>
      <c r="Q8" s="3"/>
      <c r="R8" s="3"/>
    </row>
    <row r="9" spans="2:20" x14ac:dyDescent="0.25">
      <c r="B9" s="6" t="s">
        <v>140</v>
      </c>
      <c r="C9" s="10">
        <f t="shared" ref="C9:M9" si="5">SUM(C8:C8)</f>
        <v>16000</v>
      </c>
      <c r="D9" s="10">
        <f t="shared" si="5"/>
        <v>8570.5989232839838</v>
      </c>
      <c r="E9" s="10">
        <f t="shared" si="5"/>
        <v>5685</v>
      </c>
      <c r="F9" s="10">
        <f t="shared" si="5"/>
        <v>2885.5989232839838</v>
      </c>
      <c r="G9" s="10">
        <f t="shared" ref="G9:I9" si="6">SUM(G8:G8)</f>
        <v>7429.4010767160162</v>
      </c>
      <c r="H9" s="10">
        <f t="shared" si="6"/>
        <v>0</v>
      </c>
      <c r="I9" s="10">
        <f t="shared" si="6"/>
        <v>1137.0121130551818</v>
      </c>
      <c r="J9" s="10">
        <f t="shared" ref="J9" si="7">SUM(J8:J8)</f>
        <v>16000</v>
      </c>
      <c r="K9" s="10">
        <f t="shared" si="5"/>
        <v>16560</v>
      </c>
      <c r="L9" s="10">
        <f t="shared" si="5"/>
        <v>17056.8</v>
      </c>
      <c r="M9" s="10">
        <f t="shared" si="5"/>
        <v>17568.504000000001</v>
      </c>
      <c r="N9" s="3"/>
      <c r="O9" s="3"/>
      <c r="P9" s="3"/>
      <c r="Q9" s="3"/>
      <c r="R9" s="3"/>
    </row>
    <row r="10" spans="2:20" x14ac:dyDescent="0.2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20" x14ac:dyDescent="0.25">
      <c r="B11" s="6" t="s">
        <v>70</v>
      </c>
      <c r="C11" s="10">
        <f t="shared" ref="C11:M11" si="8">C6+C9</f>
        <v>16100</v>
      </c>
      <c r="D11" s="10">
        <f t="shared" si="8"/>
        <v>8570.5989232839838</v>
      </c>
      <c r="E11" s="10">
        <f t="shared" si="8"/>
        <v>5685</v>
      </c>
      <c r="F11" s="10">
        <f t="shared" si="8"/>
        <v>2885.5989232839838</v>
      </c>
      <c r="G11" s="10">
        <f t="shared" ref="G11:I11" si="9">G6+G9</f>
        <v>7429.4010767160162</v>
      </c>
      <c r="H11" s="10">
        <f t="shared" si="9"/>
        <v>0</v>
      </c>
      <c r="I11" s="10">
        <f t="shared" si="9"/>
        <v>1137.0121130551818</v>
      </c>
      <c r="J11" s="10">
        <f t="shared" ref="J11" si="10">J6+J9</f>
        <v>16100</v>
      </c>
      <c r="K11" s="10">
        <f t="shared" si="8"/>
        <v>16663</v>
      </c>
      <c r="L11" s="10">
        <f t="shared" si="8"/>
        <v>17162.89</v>
      </c>
      <c r="M11" s="10">
        <f t="shared" si="8"/>
        <v>17677.776700000002</v>
      </c>
      <c r="N11" s="3"/>
      <c r="O11" s="3"/>
      <c r="P11" s="3"/>
      <c r="Q11" s="3"/>
      <c r="R11" s="3"/>
    </row>
    <row r="12" spans="2:20" x14ac:dyDescent="0.2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20" x14ac:dyDescent="0.25">
      <c r="B13" s="7" t="s">
        <v>96</v>
      </c>
      <c r="C13" s="13">
        <v>-800</v>
      </c>
      <c r="D13" s="10"/>
      <c r="E13" s="10"/>
      <c r="F13" s="10"/>
      <c r="G13" s="10"/>
      <c r="H13" s="13">
        <f t="shared" ref="H13:H14" si="11">E13+F13-D13</f>
        <v>0</v>
      </c>
      <c r="I13" s="13"/>
      <c r="J13" s="13">
        <v>-800</v>
      </c>
      <c r="K13" s="13">
        <v>-800</v>
      </c>
      <c r="L13" s="13">
        <v>-800</v>
      </c>
      <c r="M13" s="13">
        <v>-800</v>
      </c>
      <c r="N13" s="3"/>
      <c r="O13" s="3"/>
      <c r="P13" s="3"/>
      <c r="Q13" s="3"/>
      <c r="R13" s="3"/>
    </row>
    <row r="14" spans="2:20" x14ac:dyDescent="0.25">
      <c r="B14" s="7" t="s">
        <v>152</v>
      </c>
      <c r="C14" s="13">
        <v>-700</v>
      </c>
      <c r="D14" s="13">
        <v>-350</v>
      </c>
      <c r="E14" s="13">
        <v>-1241</v>
      </c>
      <c r="F14" s="10"/>
      <c r="G14" s="10"/>
      <c r="H14" s="13">
        <f t="shared" si="11"/>
        <v>-891</v>
      </c>
      <c r="I14" s="13"/>
      <c r="J14" s="13">
        <v>-3470</v>
      </c>
      <c r="K14" s="13">
        <v>-3470</v>
      </c>
      <c r="L14" s="13">
        <v>-3470</v>
      </c>
      <c r="M14" s="13">
        <v>-3470</v>
      </c>
      <c r="N14" s="3"/>
      <c r="O14" s="3"/>
      <c r="P14" s="3"/>
      <c r="Q14" s="3"/>
      <c r="R14" s="3"/>
    </row>
    <row r="15" spans="2:20" x14ac:dyDescent="0.25">
      <c r="B15" s="6" t="s">
        <v>0</v>
      </c>
      <c r="C15" s="10">
        <f>SUM(C13:C14)</f>
        <v>-1500</v>
      </c>
      <c r="D15" s="10">
        <f t="shared" ref="D15:M15" si="12">SUM(D13:D14)</f>
        <v>-350</v>
      </c>
      <c r="E15" s="10">
        <f t="shared" si="12"/>
        <v>-1241</v>
      </c>
      <c r="F15" s="10">
        <f t="shared" si="12"/>
        <v>0</v>
      </c>
      <c r="G15" s="10">
        <f t="shared" ref="G15:I15" si="13">SUM(G13:G14)</f>
        <v>0</v>
      </c>
      <c r="H15" s="10">
        <f t="shared" si="13"/>
        <v>-891</v>
      </c>
      <c r="I15" s="10">
        <f t="shared" si="13"/>
        <v>0</v>
      </c>
      <c r="J15" s="10">
        <f>SUM(J13:J14)</f>
        <v>-4270</v>
      </c>
      <c r="K15" s="10">
        <f t="shared" si="12"/>
        <v>-4270</v>
      </c>
      <c r="L15" s="10">
        <f t="shared" si="12"/>
        <v>-4270</v>
      </c>
      <c r="M15" s="10">
        <f t="shared" si="12"/>
        <v>-4270</v>
      </c>
      <c r="N15" s="3"/>
      <c r="O15" s="3"/>
      <c r="P15" s="3"/>
      <c r="Q15" s="3"/>
      <c r="R15" s="3"/>
    </row>
    <row r="16" spans="2:20" x14ac:dyDescent="0.2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x14ac:dyDescent="0.25">
      <c r="B17" s="6" t="s">
        <v>73</v>
      </c>
      <c r="C17" s="10">
        <f t="shared" ref="C17:M17" si="14">C11+C15</f>
        <v>14600</v>
      </c>
      <c r="D17" s="10">
        <f t="shared" si="14"/>
        <v>8220.5989232839838</v>
      </c>
      <c r="E17" s="10">
        <f t="shared" si="14"/>
        <v>4444</v>
      </c>
      <c r="F17" s="10">
        <f t="shared" si="14"/>
        <v>2885.5989232839838</v>
      </c>
      <c r="G17" s="10">
        <f t="shared" ref="G17:I17" si="15">G11+G15</f>
        <v>7429.4010767160162</v>
      </c>
      <c r="H17" s="10">
        <f t="shared" si="15"/>
        <v>-891</v>
      </c>
      <c r="I17" s="10">
        <f t="shared" si="15"/>
        <v>1137.0121130551818</v>
      </c>
      <c r="J17" s="10">
        <f t="shared" ref="J17" si="16">J11+J15</f>
        <v>11830</v>
      </c>
      <c r="K17" s="10">
        <f t="shared" si="14"/>
        <v>12393</v>
      </c>
      <c r="L17" s="10">
        <f t="shared" si="14"/>
        <v>12892.89</v>
      </c>
      <c r="M17" s="10">
        <f t="shared" si="14"/>
        <v>13407.776700000002</v>
      </c>
      <c r="N17" s="3"/>
      <c r="O17" s="3"/>
      <c r="P17" s="3"/>
      <c r="Q17" s="3"/>
      <c r="R17" s="3"/>
    </row>
    <row r="19" spans="2:18" x14ac:dyDescent="0.25">
      <c r="B19" s="21"/>
    </row>
  </sheetData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T25"/>
  <sheetViews>
    <sheetView workbookViewId="0">
      <selection activeCell="B22" sqref="B22:L25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97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79</v>
      </c>
      <c r="C5" s="13">
        <v>400</v>
      </c>
      <c r="D5" s="13">
        <v>92</v>
      </c>
      <c r="E5" s="13">
        <v>65</v>
      </c>
      <c r="F5" s="13">
        <v>27</v>
      </c>
      <c r="G5" s="13"/>
      <c r="H5" s="13">
        <f t="shared" ref="H5:H8" si="0">E5+F5-D5</f>
        <v>0</v>
      </c>
      <c r="I5" s="13"/>
      <c r="J5" s="13">
        <v>400</v>
      </c>
      <c r="K5" s="13">
        <f t="shared" ref="K5:M7" si="1">J5*1.03</f>
        <v>412</v>
      </c>
      <c r="L5" s="13">
        <f t="shared" si="1"/>
        <v>424.36</v>
      </c>
      <c r="M5" s="13">
        <f t="shared" si="1"/>
        <v>437.0908</v>
      </c>
      <c r="N5" s="3"/>
      <c r="O5" s="3"/>
      <c r="P5" s="3"/>
      <c r="Q5" s="3"/>
      <c r="R5" s="3"/>
    </row>
    <row r="6" spans="2:20" x14ac:dyDescent="0.25">
      <c r="B6" s="7" t="s">
        <v>81</v>
      </c>
      <c r="C6" s="13">
        <v>5500</v>
      </c>
      <c r="D6" s="9">
        <v>1460</v>
      </c>
      <c r="E6" s="13">
        <v>266</v>
      </c>
      <c r="F6" s="13">
        <v>1194</v>
      </c>
      <c r="G6" s="10"/>
      <c r="H6" s="13">
        <f t="shared" si="0"/>
        <v>0</v>
      </c>
      <c r="I6" s="13"/>
      <c r="J6" s="13">
        <v>5500</v>
      </c>
      <c r="K6" s="13">
        <f t="shared" si="1"/>
        <v>5665</v>
      </c>
      <c r="L6" s="13">
        <f t="shared" si="1"/>
        <v>5834.95</v>
      </c>
      <c r="M6" s="13">
        <f t="shared" si="1"/>
        <v>6009.9984999999997</v>
      </c>
      <c r="N6" s="3"/>
      <c r="O6" s="3"/>
      <c r="P6" s="3"/>
      <c r="Q6" s="3"/>
      <c r="R6" s="3"/>
    </row>
    <row r="7" spans="2:20" x14ac:dyDescent="0.25">
      <c r="B7" s="7" t="s">
        <v>148</v>
      </c>
      <c r="C7" s="13">
        <v>0</v>
      </c>
      <c r="D7" s="13">
        <v>0</v>
      </c>
      <c r="E7" s="13">
        <v>105</v>
      </c>
      <c r="F7" s="13"/>
      <c r="G7" s="13"/>
      <c r="H7" s="13">
        <f t="shared" si="0"/>
        <v>105</v>
      </c>
      <c r="I7" s="13"/>
      <c r="J7" s="13">
        <v>105</v>
      </c>
      <c r="K7" s="13">
        <f t="shared" si="1"/>
        <v>108.15</v>
      </c>
      <c r="L7" s="13">
        <f t="shared" si="1"/>
        <v>111.39450000000001</v>
      </c>
      <c r="M7" s="13">
        <f t="shared" si="1"/>
        <v>114.73633500000001</v>
      </c>
      <c r="N7" s="3"/>
      <c r="O7" s="3"/>
      <c r="P7" s="3"/>
      <c r="Q7" s="3"/>
      <c r="R7" s="3"/>
    </row>
    <row r="8" spans="2:20" x14ac:dyDescent="0.25">
      <c r="B8" s="7" t="s">
        <v>69</v>
      </c>
      <c r="C8" s="13">
        <v>100</v>
      </c>
      <c r="D8" s="13">
        <v>100</v>
      </c>
      <c r="E8" s="10"/>
      <c r="F8" s="10"/>
      <c r="G8" s="10"/>
      <c r="H8" s="13">
        <f t="shared" si="0"/>
        <v>-100</v>
      </c>
      <c r="I8" s="13"/>
      <c r="J8" s="13">
        <v>0</v>
      </c>
      <c r="K8" s="13">
        <v>0</v>
      </c>
      <c r="L8" s="13">
        <v>0</v>
      </c>
      <c r="M8" s="13">
        <v>0</v>
      </c>
      <c r="N8" s="3"/>
      <c r="O8" s="3"/>
      <c r="P8" s="3"/>
      <c r="Q8" s="3"/>
      <c r="R8" s="3"/>
    </row>
    <row r="9" spans="2:20" x14ac:dyDescent="0.25">
      <c r="B9" s="6" t="s">
        <v>80</v>
      </c>
      <c r="C9" s="10">
        <f>SUM(C5:C8)</f>
        <v>6000</v>
      </c>
      <c r="D9" s="10">
        <f t="shared" ref="D9:M9" si="2">SUM(D5:D8)</f>
        <v>1652</v>
      </c>
      <c r="E9" s="10">
        <f t="shared" si="2"/>
        <v>436</v>
      </c>
      <c r="F9" s="10">
        <f t="shared" si="2"/>
        <v>1221</v>
      </c>
      <c r="G9" s="10">
        <f t="shared" si="2"/>
        <v>0</v>
      </c>
      <c r="H9" s="10">
        <f t="shared" si="2"/>
        <v>5</v>
      </c>
      <c r="I9" s="10">
        <f t="shared" si="2"/>
        <v>0</v>
      </c>
      <c r="J9" s="10">
        <f>SUM(J5:J8)</f>
        <v>6005</v>
      </c>
      <c r="K9" s="10">
        <f t="shared" si="2"/>
        <v>6185.15</v>
      </c>
      <c r="L9" s="10">
        <f t="shared" si="2"/>
        <v>6370.7044999999998</v>
      </c>
      <c r="M9" s="10">
        <f t="shared" si="2"/>
        <v>6561.8256349999992</v>
      </c>
      <c r="N9" s="3"/>
      <c r="O9" s="3"/>
      <c r="P9" s="3"/>
      <c r="Q9" s="3"/>
      <c r="R9" s="3"/>
    </row>
    <row r="10" spans="2:20" x14ac:dyDescent="0.2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20" x14ac:dyDescent="0.25">
      <c r="B11" s="7" t="s">
        <v>92</v>
      </c>
      <c r="C11" s="16">
        <v>88900</v>
      </c>
      <c r="D11" s="13">
        <f>E11+F11</f>
        <v>47621.109017496638</v>
      </c>
      <c r="E11" s="13">
        <v>31588</v>
      </c>
      <c r="F11" s="13">
        <v>16033.109017496636</v>
      </c>
      <c r="G11" s="13">
        <f>J11-F11-E11</f>
        <v>41278.890982503362</v>
      </c>
      <c r="H11" s="13">
        <f t="shared" ref="H11" si="3">E11+F11-D11</f>
        <v>0</v>
      </c>
      <c r="I11" s="13">
        <v>6317.5235531628532</v>
      </c>
      <c r="J11" s="16">
        <v>88900</v>
      </c>
      <c r="K11" s="13">
        <f>J11*1.035</f>
        <v>92011.5</v>
      </c>
      <c r="L11" s="13">
        <f t="shared" ref="L11:M11" si="4">K11*1.03</f>
        <v>94771.845000000001</v>
      </c>
      <c r="M11" s="13">
        <f t="shared" si="4"/>
        <v>97615.000350000002</v>
      </c>
      <c r="N11" s="3"/>
      <c r="O11" s="3"/>
      <c r="P11" s="3"/>
      <c r="Q11" s="3"/>
      <c r="R11" s="3"/>
    </row>
    <row r="12" spans="2:20" x14ac:dyDescent="0.25">
      <c r="B12" s="6" t="s">
        <v>140</v>
      </c>
      <c r="C12" s="10">
        <f t="shared" ref="C12:M12" si="5">SUM(C11:C11)</f>
        <v>88900</v>
      </c>
      <c r="D12" s="10">
        <f t="shared" si="5"/>
        <v>47621.109017496638</v>
      </c>
      <c r="E12" s="10">
        <f t="shared" si="5"/>
        <v>31588</v>
      </c>
      <c r="F12" s="10">
        <f t="shared" si="5"/>
        <v>16033.109017496636</v>
      </c>
      <c r="G12" s="10">
        <f t="shared" ref="G12:I12" si="6">SUM(G11:G11)</f>
        <v>41278.890982503362</v>
      </c>
      <c r="H12" s="10">
        <f t="shared" si="6"/>
        <v>0</v>
      </c>
      <c r="I12" s="10">
        <f t="shared" si="6"/>
        <v>6317.5235531628532</v>
      </c>
      <c r="J12" s="10">
        <f t="shared" ref="J12" si="7">SUM(J11:J11)</f>
        <v>88900</v>
      </c>
      <c r="K12" s="10">
        <f t="shared" si="5"/>
        <v>92011.5</v>
      </c>
      <c r="L12" s="10">
        <f t="shared" si="5"/>
        <v>94771.845000000001</v>
      </c>
      <c r="M12" s="10">
        <f t="shared" si="5"/>
        <v>97615.000350000002</v>
      </c>
      <c r="N12" s="3"/>
      <c r="O12" s="3"/>
      <c r="P12" s="3"/>
      <c r="Q12" s="3"/>
      <c r="R12" s="3"/>
    </row>
    <row r="13" spans="2:20" x14ac:dyDescent="0.2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20" x14ac:dyDescent="0.25">
      <c r="B14" s="6" t="s">
        <v>70</v>
      </c>
      <c r="C14" s="10">
        <f t="shared" ref="C14:M14" si="8">C9+C12</f>
        <v>94900</v>
      </c>
      <c r="D14" s="10">
        <f t="shared" si="8"/>
        <v>49273.109017496638</v>
      </c>
      <c r="E14" s="10">
        <f t="shared" si="8"/>
        <v>32024</v>
      </c>
      <c r="F14" s="10">
        <f t="shared" si="8"/>
        <v>17254.109017496638</v>
      </c>
      <c r="G14" s="10">
        <f t="shared" ref="G14:I14" si="9">G9+G12</f>
        <v>41278.890982503362</v>
      </c>
      <c r="H14" s="10">
        <f t="shared" si="9"/>
        <v>5</v>
      </c>
      <c r="I14" s="10">
        <f t="shared" si="9"/>
        <v>6317.5235531628532</v>
      </c>
      <c r="J14" s="10">
        <f t="shared" ref="J14" si="10">J9+J12</f>
        <v>94905</v>
      </c>
      <c r="K14" s="10">
        <f t="shared" si="8"/>
        <v>98196.65</v>
      </c>
      <c r="L14" s="10">
        <f t="shared" si="8"/>
        <v>101142.54949999999</v>
      </c>
      <c r="M14" s="10">
        <f t="shared" si="8"/>
        <v>104176.825985</v>
      </c>
      <c r="N14" s="3"/>
      <c r="O14" s="3"/>
      <c r="P14" s="3"/>
      <c r="Q14" s="3"/>
      <c r="R14" s="3"/>
    </row>
    <row r="15" spans="2:20" x14ac:dyDescent="0.2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20" x14ac:dyDescent="0.25">
      <c r="B16" s="7" t="s">
        <v>154</v>
      </c>
      <c r="C16" s="13">
        <v>-3100</v>
      </c>
      <c r="D16" s="13">
        <v>-1595</v>
      </c>
      <c r="E16" s="13">
        <v>-1595</v>
      </c>
      <c r="F16" s="10"/>
      <c r="G16" s="10"/>
      <c r="H16" s="13">
        <f t="shared" ref="H16:H17" si="11">E16+F16-D16</f>
        <v>0</v>
      </c>
      <c r="I16" s="13"/>
      <c r="J16" s="13">
        <v>-3145</v>
      </c>
      <c r="K16" s="13">
        <v>-3145</v>
      </c>
      <c r="L16" s="13">
        <v>-3145</v>
      </c>
      <c r="M16" s="13">
        <v>-3145</v>
      </c>
      <c r="N16" s="3"/>
      <c r="O16" s="3"/>
      <c r="P16" s="3"/>
      <c r="Q16" s="3"/>
      <c r="R16" s="3"/>
    </row>
    <row r="17" spans="2:18" x14ac:dyDescent="0.25">
      <c r="B17" s="7" t="s">
        <v>153</v>
      </c>
      <c r="C17" s="13">
        <v>-8500</v>
      </c>
      <c r="D17" s="13">
        <v>-4250</v>
      </c>
      <c r="E17" s="13">
        <v>-4192</v>
      </c>
      <c r="F17" s="13">
        <f>-2210-1272</f>
        <v>-3482</v>
      </c>
      <c r="G17" s="13"/>
      <c r="H17" s="13">
        <f t="shared" si="11"/>
        <v>-3424</v>
      </c>
      <c r="I17" s="13"/>
      <c r="J17" s="13">
        <v>-8500</v>
      </c>
      <c r="K17" s="13">
        <v>-8500</v>
      </c>
      <c r="L17" s="13">
        <v>-8500</v>
      </c>
      <c r="M17" s="13">
        <v>-8500</v>
      </c>
      <c r="N17" s="3"/>
      <c r="O17" s="3"/>
      <c r="P17" s="3"/>
      <c r="Q17" s="3"/>
      <c r="R17" s="3"/>
    </row>
    <row r="18" spans="2:18" x14ac:dyDescent="0.25">
      <c r="B18" s="6" t="s">
        <v>0</v>
      </c>
      <c r="C18" s="10">
        <f t="shared" ref="C18:M18" si="12">SUM(C16:C17)</f>
        <v>-11600</v>
      </c>
      <c r="D18" s="10">
        <f t="shared" si="12"/>
        <v>-5845</v>
      </c>
      <c r="E18" s="10">
        <f t="shared" si="12"/>
        <v>-5787</v>
      </c>
      <c r="F18" s="10">
        <f t="shared" si="12"/>
        <v>-3482</v>
      </c>
      <c r="G18" s="10">
        <f t="shared" si="12"/>
        <v>0</v>
      </c>
      <c r="H18" s="10">
        <f t="shared" si="12"/>
        <v>-3424</v>
      </c>
      <c r="I18" s="10">
        <f t="shared" si="12"/>
        <v>0</v>
      </c>
      <c r="J18" s="10">
        <f t="shared" si="12"/>
        <v>-11645</v>
      </c>
      <c r="K18" s="10">
        <f t="shared" si="12"/>
        <v>-11645</v>
      </c>
      <c r="L18" s="10">
        <f t="shared" si="12"/>
        <v>-11645</v>
      </c>
      <c r="M18" s="10">
        <f t="shared" si="12"/>
        <v>-11645</v>
      </c>
      <c r="N18" s="3"/>
      <c r="O18" s="3"/>
      <c r="P18" s="3"/>
      <c r="Q18" s="3"/>
      <c r="R18" s="3"/>
    </row>
    <row r="19" spans="2:18" x14ac:dyDescent="0.25"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"/>
      <c r="O19" s="3"/>
      <c r="P19" s="3"/>
      <c r="Q19" s="3"/>
      <c r="R19" s="3"/>
    </row>
    <row r="20" spans="2:18" x14ac:dyDescent="0.25">
      <c r="B20" s="6" t="s">
        <v>73</v>
      </c>
      <c r="C20" s="10">
        <f t="shared" ref="C20:M20" si="13">C14+C18</f>
        <v>83300</v>
      </c>
      <c r="D20" s="10">
        <f t="shared" si="13"/>
        <v>43428.109017496638</v>
      </c>
      <c r="E20" s="10">
        <f t="shared" si="13"/>
        <v>26237</v>
      </c>
      <c r="F20" s="10">
        <f t="shared" si="13"/>
        <v>13772.109017496638</v>
      </c>
      <c r="G20" s="10">
        <f t="shared" si="13"/>
        <v>41278.890982503362</v>
      </c>
      <c r="H20" s="10">
        <f t="shared" si="13"/>
        <v>-3419</v>
      </c>
      <c r="I20" s="10">
        <f t="shared" si="13"/>
        <v>6317.5235531628532</v>
      </c>
      <c r="J20" s="10">
        <f t="shared" si="13"/>
        <v>83260</v>
      </c>
      <c r="K20" s="10">
        <f t="shared" si="13"/>
        <v>86551.65</v>
      </c>
      <c r="L20" s="10">
        <f t="shared" si="13"/>
        <v>89497.549499999994</v>
      </c>
      <c r="M20" s="10">
        <f t="shared" si="13"/>
        <v>92531.825985000003</v>
      </c>
      <c r="N20" s="3"/>
      <c r="O20" s="3"/>
      <c r="P20" s="3"/>
      <c r="Q20" s="3"/>
      <c r="R20" s="3"/>
    </row>
    <row r="22" spans="2:18" x14ac:dyDescent="0.25">
      <c r="B22" s="21"/>
    </row>
    <row r="23" spans="2:18" x14ac:dyDescent="0.25">
      <c r="B23" s="20"/>
    </row>
    <row r="25" spans="2:18" x14ac:dyDescent="0.25">
      <c r="B25" s="37"/>
    </row>
  </sheetData>
  <pageMargins left="0.7" right="0.7" top="0.75" bottom="0.75" header="0.3" footer="0.3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T38"/>
  <sheetViews>
    <sheetView workbookViewId="0">
      <selection activeCell="B35" sqref="B35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9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98</v>
      </c>
      <c r="C5" s="13">
        <v>4200</v>
      </c>
      <c r="D5" s="10"/>
      <c r="E5" s="10"/>
      <c r="F5" s="10"/>
      <c r="G5" s="10"/>
      <c r="H5" s="13">
        <f t="shared" ref="H5:H7" si="0">E5+F5-D5</f>
        <v>0</v>
      </c>
      <c r="I5" s="13"/>
      <c r="J5" s="13">
        <v>4200</v>
      </c>
      <c r="K5" s="13">
        <f t="shared" ref="K5:M5" si="1">J5*1.03</f>
        <v>4326</v>
      </c>
      <c r="L5" s="13">
        <f t="shared" si="1"/>
        <v>4455.78</v>
      </c>
      <c r="M5" s="13">
        <f t="shared" si="1"/>
        <v>4589.4533999999994</v>
      </c>
      <c r="N5" s="3"/>
      <c r="O5" s="3"/>
      <c r="P5" s="3"/>
      <c r="Q5" s="3"/>
      <c r="R5" s="3"/>
    </row>
    <row r="6" spans="2:20" x14ac:dyDescent="0.25">
      <c r="B6" s="7" t="s">
        <v>99</v>
      </c>
      <c r="C6" s="13">
        <v>400</v>
      </c>
      <c r="D6" s="13">
        <v>400</v>
      </c>
      <c r="E6" s="10"/>
      <c r="F6" s="10"/>
      <c r="G6" s="10"/>
      <c r="H6" s="13">
        <f t="shared" si="0"/>
        <v>-400</v>
      </c>
      <c r="I6" s="13"/>
      <c r="J6" s="13">
        <v>0</v>
      </c>
      <c r="K6" s="13">
        <v>0</v>
      </c>
      <c r="L6" s="13">
        <v>0</v>
      </c>
      <c r="M6" s="13">
        <v>0</v>
      </c>
      <c r="N6" s="3"/>
      <c r="O6" s="3"/>
      <c r="P6" s="3"/>
      <c r="Q6" s="3"/>
      <c r="R6" s="3"/>
    </row>
    <row r="7" spans="2:20" x14ac:dyDescent="0.25">
      <c r="B7" s="7" t="s">
        <v>174</v>
      </c>
      <c r="C7" s="13">
        <v>1400</v>
      </c>
      <c r="D7" s="10"/>
      <c r="E7" s="10"/>
      <c r="F7" s="10"/>
      <c r="G7" s="10"/>
      <c r="H7" s="13">
        <f t="shared" si="0"/>
        <v>0</v>
      </c>
      <c r="I7" s="13"/>
      <c r="J7" s="13">
        <v>0</v>
      </c>
      <c r="K7" s="13">
        <v>50000</v>
      </c>
      <c r="L7" s="13">
        <v>50000</v>
      </c>
      <c r="M7" s="13">
        <v>50000</v>
      </c>
      <c r="N7" s="3"/>
      <c r="O7" s="3"/>
      <c r="P7" s="3"/>
      <c r="Q7" s="3"/>
      <c r="R7" s="3"/>
    </row>
    <row r="8" spans="2:20" x14ac:dyDescent="0.25">
      <c r="B8" s="6" t="s">
        <v>80</v>
      </c>
      <c r="C8" s="10">
        <f>SUM(C5:C7)</f>
        <v>6000</v>
      </c>
      <c r="D8" s="10">
        <f t="shared" ref="D8:M8" si="2">SUM(D5:D7)</f>
        <v>400</v>
      </c>
      <c r="E8" s="10">
        <f t="shared" si="2"/>
        <v>0</v>
      </c>
      <c r="F8" s="10">
        <f t="shared" si="2"/>
        <v>0</v>
      </c>
      <c r="G8" s="10"/>
      <c r="H8" s="10">
        <f t="shared" si="2"/>
        <v>-400</v>
      </c>
      <c r="I8" s="10"/>
      <c r="J8" s="10">
        <f>SUM(J5:J7)</f>
        <v>4200</v>
      </c>
      <c r="K8" s="10">
        <f t="shared" si="2"/>
        <v>54326</v>
      </c>
      <c r="L8" s="10">
        <f t="shared" si="2"/>
        <v>54455.78</v>
      </c>
      <c r="M8" s="10">
        <f t="shared" si="2"/>
        <v>54589.453399999999</v>
      </c>
      <c r="N8" s="3"/>
      <c r="O8" s="3"/>
      <c r="P8" s="3"/>
      <c r="Q8" s="3"/>
      <c r="R8" s="3"/>
    </row>
    <row r="9" spans="2:20" x14ac:dyDescent="0.25">
      <c r="B9" s="8"/>
      <c r="C9" s="13"/>
      <c r="D9" s="10"/>
      <c r="E9" s="10"/>
      <c r="F9" s="10"/>
      <c r="G9" s="10"/>
      <c r="H9" s="13"/>
      <c r="I9" s="13"/>
      <c r="J9" s="13"/>
      <c r="K9" s="13"/>
      <c r="L9" s="13"/>
      <c r="M9" s="13"/>
      <c r="N9" s="3"/>
      <c r="O9" s="3"/>
      <c r="P9" s="3"/>
      <c r="Q9" s="3"/>
      <c r="R9" s="3"/>
    </row>
    <row r="10" spans="2:20" x14ac:dyDescent="0.25">
      <c r="B10" s="7" t="s">
        <v>100</v>
      </c>
      <c r="C10" s="13">
        <v>1800</v>
      </c>
      <c r="D10" s="13">
        <f>E10+F10</f>
        <v>964.19919246298787</v>
      </c>
      <c r="E10" s="13">
        <v>639.56931359353973</v>
      </c>
      <c r="F10" s="13">
        <v>324.62987886944819</v>
      </c>
      <c r="G10" s="13">
        <f t="shared" ref="G10:G26" si="3">J10-F10-E10</f>
        <v>835.80080753701202</v>
      </c>
      <c r="H10" s="13">
        <f t="shared" ref="H10:H26" si="4">E10+F10-D10</f>
        <v>0</v>
      </c>
      <c r="I10" s="13">
        <v>127.91386271870793</v>
      </c>
      <c r="J10" s="13">
        <v>1800</v>
      </c>
      <c r="K10" s="13">
        <f>J10*1.035</f>
        <v>1862.9999999999998</v>
      </c>
      <c r="L10" s="13">
        <f t="shared" ref="L10:M10" si="5">K10*1.03</f>
        <v>1918.8899999999999</v>
      </c>
      <c r="M10" s="13">
        <f t="shared" si="5"/>
        <v>1976.4567</v>
      </c>
      <c r="N10" s="3"/>
      <c r="O10" s="3"/>
      <c r="P10" s="3"/>
      <c r="Q10" s="3"/>
      <c r="R10" s="3"/>
    </row>
    <row r="11" spans="2:20" x14ac:dyDescent="0.25">
      <c r="B11" s="7" t="s">
        <v>35</v>
      </c>
      <c r="C11" s="12">
        <v>6300</v>
      </c>
      <c r="D11" s="13">
        <f t="shared" ref="D11:D26" si="6">E11+F11</f>
        <v>3374.6971736204573</v>
      </c>
      <c r="E11" s="13">
        <v>2238.4925975773886</v>
      </c>
      <c r="F11" s="13">
        <v>1136.2045760430688</v>
      </c>
      <c r="G11" s="13">
        <f t="shared" si="3"/>
        <v>2925.3028263795431</v>
      </c>
      <c r="H11" s="13">
        <f t="shared" si="4"/>
        <v>0</v>
      </c>
      <c r="I11" s="13">
        <v>447.6985195154777</v>
      </c>
      <c r="J11" s="12">
        <v>6300</v>
      </c>
      <c r="K11" s="13">
        <f t="shared" ref="K11:K26" si="7">J11*1.035</f>
        <v>6520.4999999999991</v>
      </c>
      <c r="L11" s="13">
        <f t="shared" ref="L11:M11" si="8">K11*1.03</f>
        <v>6716.1149999999989</v>
      </c>
      <c r="M11" s="13">
        <f t="shared" si="8"/>
        <v>6917.5984499999986</v>
      </c>
      <c r="N11" s="3"/>
      <c r="O11" s="3"/>
      <c r="P11" s="3"/>
      <c r="Q11" s="3"/>
      <c r="R11" s="3"/>
    </row>
    <row r="12" spans="2:20" x14ac:dyDescent="0.25">
      <c r="B12" s="7" t="s">
        <v>36</v>
      </c>
      <c r="C12" s="12">
        <v>7900</v>
      </c>
      <c r="D12" s="13">
        <f t="shared" si="6"/>
        <v>4231.7631224764464</v>
      </c>
      <c r="E12" s="13">
        <v>2806.9986541049798</v>
      </c>
      <c r="F12" s="13">
        <v>1424.764468371467</v>
      </c>
      <c r="G12" s="13">
        <f t="shared" si="3"/>
        <v>3668.2368775235532</v>
      </c>
      <c r="H12" s="13">
        <f t="shared" si="4"/>
        <v>0</v>
      </c>
      <c r="I12" s="13">
        <v>561.39973082099596</v>
      </c>
      <c r="J12" s="12">
        <v>7900</v>
      </c>
      <c r="K12" s="13">
        <f t="shared" si="7"/>
        <v>8176.4999999999991</v>
      </c>
      <c r="L12" s="13">
        <f t="shared" ref="L12:M12" si="9">K12*1.03</f>
        <v>8421.7950000000001</v>
      </c>
      <c r="M12" s="13">
        <f t="shared" si="9"/>
        <v>8674.4488500000007</v>
      </c>
      <c r="N12" s="3"/>
      <c r="O12" s="3"/>
      <c r="P12" s="3"/>
      <c r="Q12" s="3"/>
      <c r="R12" s="3"/>
    </row>
    <row r="13" spans="2:20" x14ac:dyDescent="0.25">
      <c r="B13" s="11" t="s">
        <v>75</v>
      </c>
      <c r="C13" s="12">
        <v>200</v>
      </c>
      <c r="D13" s="13">
        <f t="shared" si="6"/>
        <v>107.13324360699865</v>
      </c>
      <c r="E13" s="13">
        <v>71.063257065948847</v>
      </c>
      <c r="F13" s="13">
        <v>36.069986541049801</v>
      </c>
      <c r="G13" s="13">
        <f t="shared" si="3"/>
        <v>92.866756393001367</v>
      </c>
      <c r="H13" s="13">
        <f t="shared" si="4"/>
        <v>0</v>
      </c>
      <c r="I13" s="13">
        <v>14.21265141318977</v>
      </c>
      <c r="J13" s="12">
        <v>200</v>
      </c>
      <c r="K13" s="13">
        <f t="shared" si="7"/>
        <v>206.99999999999997</v>
      </c>
      <c r="L13" s="13">
        <f t="shared" ref="L13:M13" si="10">K13*1.03</f>
        <v>213.20999999999998</v>
      </c>
      <c r="M13" s="13">
        <f t="shared" si="10"/>
        <v>219.60629999999998</v>
      </c>
      <c r="N13" s="3"/>
      <c r="O13" s="3"/>
      <c r="P13" s="3"/>
      <c r="Q13" s="3"/>
      <c r="R13" s="3"/>
    </row>
    <row r="14" spans="2:20" x14ac:dyDescent="0.25">
      <c r="B14" s="7" t="s">
        <v>47</v>
      </c>
      <c r="C14" s="12">
        <v>2200</v>
      </c>
      <c r="D14" s="13">
        <f t="shared" si="6"/>
        <v>1178.465679676985</v>
      </c>
      <c r="E14" s="13">
        <v>781.69582772543731</v>
      </c>
      <c r="F14" s="13">
        <v>396.76985195154776</v>
      </c>
      <c r="G14" s="13">
        <f t="shared" si="3"/>
        <v>1021.534320323015</v>
      </c>
      <c r="H14" s="13">
        <f t="shared" si="4"/>
        <v>0</v>
      </c>
      <c r="I14" s="13">
        <v>156.33916554508747</v>
      </c>
      <c r="J14" s="12">
        <v>2200</v>
      </c>
      <c r="K14" s="13">
        <f t="shared" si="7"/>
        <v>2277</v>
      </c>
      <c r="L14" s="13">
        <f t="shared" ref="L14:M14" si="11">K14*1.03</f>
        <v>2345.31</v>
      </c>
      <c r="M14" s="13">
        <f t="shared" si="11"/>
        <v>2415.6693</v>
      </c>
      <c r="N14" s="3"/>
      <c r="O14" s="3"/>
      <c r="P14" s="3"/>
      <c r="Q14" s="3"/>
      <c r="R14" s="3"/>
    </row>
    <row r="15" spans="2:20" x14ac:dyDescent="0.25">
      <c r="B15" s="7" t="s">
        <v>72</v>
      </c>
      <c r="C15" s="12">
        <v>1400</v>
      </c>
      <c r="D15" s="13">
        <f t="shared" si="6"/>
        <v>749.9327052489906</v>
      </c>
      <c r="E15" s="13">
        <v>497.44279946164204</v>
      </c>
      <c r="F15" s="13">
        <v>252.48990578734859</v>
      </c>
      <c r="G15" s="13">
        <f t="shared" si="3"/>
        <v>650.0672947510094</v>
      </c>
      <c r="H15" s="13">
        <f t="shared" si="4"/>
        <v>0</v>
      </c>
      <c r="I15" s="13">
        <v>99.488559892328411</v>
      </c>
      <c r="J15" s="12">
        <v>1400</v>
      </c>
      <c r="K15" s="13">
        <f t="shared" si="7"/>
        <v>1449</v>
      </c>
      <c r="L15" s="13">
        <f t="shared" ref="L15:M15" si="12">K15*1.03</f>
        <v>1492.47</v>
      </c>
      <c r="M15" s="13">
        <f t="shared" si="12"/>
        <v>1537.2441000000001</v>
      </c>
      <c r="N15" s="3"/>
      <c r="O15" s="3"/>
      <c r="P15" s="3"/>
      <c r="Q15" s="3"/>
      <c r="R15" s="3"/>
    </row>
    <row r="16" spans="2:20" x14ac:dyDescent="0.25">
      <c r="B16" s="7" t="s">
        <v>48</v>
      </c>
      <c r="C16" s="12">
        <v>1400</v>
      </c>
      <c r="D16" s="13">
        <f t="shared" si="6"/>
        <v>749.9327052489906</v>
      </c>
      <c r="E16" s="13">
        <v>497.44279946164204</v>
      </c>
      <c r="F16" s="13">
        <v>252.48990578734859</v>
      </c>
      <c r="G16" s="13">
        <f t="shared" si="3"/>
        <v>650.0672947510094</v>
      </c>
      <c r="H16" s="13">
        <f t="shared" si="4"/>
        <v>0</v>
      </c>
      <c r="I16" s="13">
        <v>99.488559892328411</v>
      </c>
      <c r="J16" s="12">
        <v>1400</v>
      </c>
      <c r="K16" s="13">
        <f t="shared" si="7"/>
        <v>1449</v>
      </c>
      <c r="L16" s="13">
        <f t="shared" ref="L16:M16" si="13">K16*1.03</f>
        <v>1492.47</v>
      </c>
      <c r="M16" s="13">
        <f t="shared" si="13"/>
        <v>1537.2441000000001</v>
      </c>
      <c r="N16" s="3"/>
      <c r="O16" s="3"/>
      <c r="P16" s="3"/>
      <c r="Q16" s="3"/>
      <c r="R16" s="3"/>
    </row>
    <row r="17" spans="2:18" x14ac:dyDescent="0.25">
      <c r="B17" s="7" t="s">
        <v>49</v>
      </c>
      <c r="C17" s="12">
        <v>1400</v>
      </c>
      <c r="D17" s="13">
        <f t="shared" si="6"/>
        <v>749.9327052489906</v>
      </c>
      <c r="E17" s="13">
        <v>497.44279946164204</v>
      </c>
      <c r="F17" s="13">
        <v>252.48990578734859</v>
      </c>
      <c r="G17" s="13">
        <f t="shared" si="3"/>
        <v>650.0672947510094</v>
      </c>
      <c r="H17" s="13">
        <f t="shared" si="4"/>
        <v>0</v>
      </c>
      <c r="I17" s="13">
        <v>99.488559892328411</v>
      </c>
      <c r="J17" s="12">
        <v>1400</v>
      </c>
      <c r="K17" s="13">
        <f t="shared" si="7"/>
        <v>1449</v>
      </c>
      <c r="L17" s="13">
        <f t="shared" ref="L17:M17" si="14">K17*1.03</f>
        <v>1492.47</v>
      </c>
      <c r="M17" s="13">
        <f t="shared" si="14"/>
        <v>1537.2441000000001</v>
      </c>
      <c r="N17" s="3"/>
      <c r="O17" s="3"/>
      <c r="P17" s="3"/>
      <c r="Q17" s="3"/>
      <c r="R17" s="3"/>
    </row>
    <row r="18" spans="2:18" x14ac:dyDescent="0.25">
      <c r="B18" s="11" t="s">
        <v>76</v>
      </c>
      <c r="C18" s="12">
        <v>1100</v>
      </c>
      <c r="D18" s="13">
        <f t="shared" si="6"/>
        <v>589.23283983849251</v>
      </c>
      <c r="E18" s="13">
        <v>390.84791386271866</v>
      </c>
      <c r="F18" s="13">
        <v>198.38492597577388</v>
      </c>
      <c r="G18" s="13">
        <f t="shared" si="3"/>
        <v>510.76716016150749</v>
      </c>
      <c r="H18" s="13">
        <f t="shared" si="4"/>
        <v>0</v>
      </c>
      <c r="I18" s="13">
        <v>78.169582772543734</v>
      </c>
      <c r="J18" s="12">
        <v>1100</v>
      </c>
      <c r="K18" s="13">
        <f t="shared" si="7"/>
        <v>1138.5</v>
      </c>
      <c r="L18" s="13">
        <f t="shared" ref="L18:M18" si="15">K18*1.03</f>
        <v>1172.655</v>
      </c>
      <c r="M18" s="13">
        <f t="shared" si="15"/>
        <v>1207.83465</v>
      </c>
      <c r="N18" s="3"/>
      <c r="O18" s="3"/>
      <c r="P18" s="3"/>
      <c r="Q18" s="3"/>
      <c r="R18" s="3"/>
    </row>
    <row r="19" spans="2:18" x14ac:dyDescent="0.25">
      <c r="B19" s="7" t="s">
        <v>50</v>
      </c>
      <c r="C19" s="12">
        <v>1400</v>
      </c>
      <c r="D19" s="13">
        <f t="shared" si="6"/>
        <v>749.9327052489906</v>
      </c>
      <c r="E19" s="13">
        <v>497.44279946164204</v>
      </c>
      <c r="F19" s="13">
        <v>252.48990578734859</v>
      </c>
      <c r="G19" s="13">
        <f t="shared" si="3"/>
        <v>650.0672947510094</v>
      </c>
      <c r="H19" s="13">
        <f t="shared" si="4"/>
        <v>0</v>
      </c>
      <c r="I19" s="13">
        <v>99.488559892328411</v>
      </c>
      <c r="J19" s="12">
        <v>1400</v>
      </c>
      <c r="K19" s="13">
        <f t="shared" si="7"/>
        <v>1449</v>
      </c>
      <c r="L19" s="13">
        <f t="shared" ref="L19:M19" si="16">K19*1.03</f>
        <v>1492.47</v>
      </c>
      <c r="M19" s="13">
        <f t="shared" si="16"/>
        <v>1537.2441000000001</v>
      </c>
      <c r="N19" s="3"/>
      <c r="O19" s="3"/>
      <c r="P19" s="3"/>
      <c r="Q19" s="3"/>
      <c r="R19" s="3"/>
    </row>
    <row r="20" spans="2:18" x14ac:dyDescent="0.25">
      <c r="B20" s="11" t="s">
        <v>77</v>
      </c>
      <c r="C20" s="12">
        <v>1400</v>
      </c>
      <c r="D20" s="13">
        <f t="shared" si="6"/>
        <v>749.9327052489906</v>
      </c>
      <c r="E20" s="13">
        <v>497.44279946164204</v>
      </c>
      <c r="F20" s="13">
        <v>252.48990578734859</v>
      </c>
      <c r="G20" s="13">
        <f t="shared" si="3"/>
        <v>650.0672947510094</v>
      </c>
      <c r="H20" s="13">
        <f t="shared" si="4"/>
        <v>0</v>
      </c>
      <c r="I20" s="13">
        <v>99.488559892328411</v>
      </c>
      <c r="J20" s="12">
        <v>1400</v>
      </c>
      <c r="K20" s="13">
        <f t="shared" si="7"/>
        <v>1449</v>
      </c>
      <c r="L20" s="13">
        <f t="shared" ref="L20:M20" si="17">K20*1.03</f>
        <v>1492.47</v>
      </c>
      <c r="M20" s="13">
        <f t="shared" si="17"/>
        <v>1537.2441000000001</v>
      </c>
      <c r="N20" s="3"/>
      <c r="O20" s="3"/>
      <c r="P20" s="3"/>
      <c r="Q20" s="3"/>
      <c r="R20" s="3"/>
    </row>
    <row r="21" spans="2:18" x14ac:dyDescent="0.25">
      <c r="B21" s="7" t="s">
        <v>51</v>
      </c>
      <c r="C21" s="12">
        <v>1200</v>
      </c>
      <c r="D21" s="13">
        <f t="shared" si="6"/>
        <v>642.79946164199191</v>
      </c>
      <c r="E21" s="13">
        <v>426.37954239569314</v>
      </c>
      <c r="F21" s="13">
        <v>216.41991924629878</v>
      </c>
      <c r="G21" s="13">
        <f t="shared" si="3"/>
        <v>557.20053835800809</v>
      </c>
      <c r="H21" s="13">
        <f t="shared" si="4"/>
        <v>0</v>
      </c>
      <c r="I21" s="13">
        <v>85.275908479138636</v>
      </c>
      <c r="J21" s="12">
        <v>1200</v>
      </c>
      <c r="K21" s="13">
        <f t="shared" si="7"/>
        <v>1242</v>
      </c>
      <c r="L21" s="13">
        <f t="shared" ref="L21:M21" si="18">K21*1.03</f>
        <v>1279.26</v>
      </c>
      <c r="M21" s="13">
        <f t="shared" si="18"/>
        <v>1317.6378</v>
      </c>
      <c r="N21" s="3"/>
      <c r="O21" s="3"/>
      <c r="P21" s="3"/>
      <c r="Q21" s="3"/>
      <c r="R21" s="3"/>
    </row>
    <row r="22" spans="2:18" x14ac:dyDescent="0.25">
      <c r="B22" s="7" t="s">
        <v>52</v>
      </c>
      <c r="C22" s="12">
        <v>1400</v>
      </c>
      <c r="D22" s="13">
        <f t="shared" si="6"/>
        <v>749.9327052489906</v>
      </c>
      <c r="E22" s="13">
        <v>497.44279946164204</v>
      </c>
      <c r="F22" s="13">
        <v>252.48990578734859</v>
      </c>
      <c r="G22" s="13">
        <f t="shared" si="3"/>
        <v>650.0672947510094</v>
      </c>
      <c r="H22" s="13">
        <f t="shared" si="4"/>
        <v>0</v>
      </c>
      <c r="I22" s="13">
        <v>99.488559892328411</v>
      </c>
      <c r="J22" s="12">
        <v>1400</v>
      </c>
      <c r="K22" s="13">
        <f t="shared" si="7"/>
        <v>1449</v>
      </c>
      <c r="L22" s="13">
        <f t="shared" ref="L22:M22" si="19">K22*1.03</f>
        <v>1492.47</v>
      </c>
      <c r="M22" s="13">
        <f t="shared" si="19"/>
        <v>1537.2441000000001</v>
      </c>
      <c r="N22" s="3"/>
      <c r="O22" s="3"/>
      <c r="P22" s="3"/>
      <c r="Q22" s="3"/>
      <c r="R22" s="3"/>
    </row>
    <row r="23" spans="2:18" x14ac:dyDescent="0.25">
      <c r="B23" s="7" t="s">
        <v>53</v>
      </c>
      <c r="C23" s="12">
        <v>1400</v>
      </c>
      <c r="D23" s="13">
        <f t="shared" si="6"/>
        <v>749.9327052489906</v>
      </c>
      <c r="E23" s="13">
        <v>497.44279946164204</v>
      </c>
      <c r="F23" s="13">
        <v>252.48990578734859</v>
      </c>
      <c r="G23" s="13">
        <f t="shared" si="3"/>
        <v>650.0672947510094</v>
      </c>
      <c r="H23" s="13">
        <f t="shared" si="4"/>
        <v>0</v>
      </c>
      <c r="I23" s="13">
        <v>99.488559892328411</v>
      </c>
      <c r="J23" s="12">
        <v>1400</v>
      </c>
      <c r="K23" s="13">
        <f t="shared" si="7"/>
        <v>1449</v>
      </c>
      <c r="L23" s="13">
        <f t="shared" ref="L23:M23" si="20">K23*1.03</f>
        <v>1492.47</v>
      </c>
      <c r="M23" s="13">
        <f t="shared" si="20"/>
        <v>1537.2441000000001</v>
      </c>
      <c r="N23" s="3"/>
      <c r="O23" s="3"/>
      <c r="P23" s="3"/>
      <c r="Q23" s="3"/>
      <c r="R23" s="3"/>
    </row>
    <row r="24" spans="2:18" x14ac:dyDescent="0.25">
      <c r="B24" s="7" t="s">
        <v>54</v>
      </c>
      <c r="C24" s="12">
        <v>1400</v>
      </c>
      <c r="D24" s="13">
        <f t="shared" si="6"/>
        <v>749.9327052489906</v>
      </c>
      <c r="E24" s="13">
        <v>497.44279946164204</v>
      </c>
      <c r="F24" s="13">
        <v>252.48990578734859</v>
      </c>
      <c r="G24" s="13">
        <f t="shared" si="3"/>
        <v>650.0672947510094</v>
      </c>
      <c r="H24" s="13">
        <f t="shared" si="4"/>
        <v>0</v>
      </c>
      <c r="I24" s="13">
        <v>99.488559892328411</v>
      </c>
      <c r="J24" s="12">
        <v>1400</v>
      </c>
      <c r="K24" s="13">
        <f t="shared" si="7"/>
        <v>1449</v>
      </c>
      <c r="L24" s="13">
        <f t="shared" ref="L24:M24" si="21">K24*1.03</f>
        <v>1492.47</v>
      </c>
      <c r="M24" s="13">
        <f t="shared" si="21"/>
        <v>1537.2441000000001</v>
      </c>
      <c r="N24" s="3"/>
      <c r="O24" s="3"/>
      <c r="P24" s="3"/>
      <c r="Q24" s="3"/>
      <c r="R24" s="3"/>
    </row>
    <row r="25" spans="2:18" x14ac:dyDescent="0.25">
      <c r="B25" s="7" t="s">
        <v>55</v>
      </c>
      <c r="C25" s="12">
        <v>1400</v>
      </c>
      <c r="D25" s="13">
        <f t="shared" si="6"/>
        <v>749.9327052489906</v>
      </c>
      <c r="E25" s="13">
        <v>497.44279946164204</v>
      </c>
      <c r="F25" s="13">
        <v>252.48990578734859</v>
      </c>
      <c r="G25" s="13">
        <f t="shared" si="3"/>
        <v>650.0672947510094</v>
      </c>
      <c r="H25" s="13">
        <f t="shared" si="4"/>
        <v>0</v>
      </c>
      <c r="I25" s="13">
        <v>99.488559892328411</v>
      </c>
      <c r="J25" s="12">
        <v>1400</v>
      </c>
      <c r="K25" s="13">
        <f t="shared" si="7"/>
        <v>1449</v>
      </c>
      <c r="L25" s="13">
        <f t="shared" ref="L25:M25" si="22">K25*1.03</f>
        <v>1492.47</v>
      </c>
      <c r="M25" s="13">
        <f t="shared" si="22"/>
        <v>1537.2441000000001</v>
      </c>
      <c r="N25" s="3"/>
      <c r="O25" s="3"/>
      <c r="P25" s="3"/>
      <c r="Q25" s="3"/>
      <c r="R25" s="3"/>
    </row>
    <row r="26" spans="2:18" x14ac:dyDescent="0.25">
      <c r="B26" s="7" t="s">
        <v>145</v>
      </c>
      <c r="C26" s="12">
        <v>0</v>
      </c>
      <c r="D26" s="13">
        <f t="shared" si="6"/>
        <v>267.83310901749667</v>
      </c>
      <c r="E26" s="13">
        <v>177.65814266487214</v>
      </c>
      <c r="F26" s="13">
        <v>90.174966352624494</v>
      </c>
      <c r="G26" s="13">
        <f t="shared" si="3"/>
        <v>232.16689098250336</v>
      </c>
      <c r="H26" s="13">
        <f t="shared" si="4"/>
        <v>0</v>
      </c>
      <c r="I26" s="13">
        <v>35.53162853297443</v>
      </c>
      <c r="J26" s="12">
        <v>500</v>
      </c>
      <c r="K26" s="13">
        <f t="shared" si="7"/>
        <v>517.5</v>
      </c>
      <c r="L26" s="13">
        <f t="shared" ref="L26:M26" si="23">K26*1.03</f>
        <v>533.02499999999998</v>
      </c>
      <c r="M26" s="13">
        <f t="shared" si="23"/>
        <v>549.01575000000003</v>
      </c>
      <c r="N26" s="3"/>
      <c r="O26" s="3"/>
      <c r="P26" s="3"/>
      <c r="Q26" s="3"/>
      <c r="R26" s="3"/>
    </row>
    <row r="27" spans="2:18" x14ac:dyDescent="0.25">
      <c r="B27" s="6" t="s">
        <v>140</v>
      </c>
      <c r="C27" s="10">
        <f>SUM(C10:C26)</f>
        <v>33300</v>
      </c>
      <c r="D27" s="10">
        <f t="shared" ref="D27:M27" si="24">SUM(D10:D26)</f>
        <v>18105.518169582767</v>
      </c>
      <c r="E27" s="10">
        <f t="shared" si="24"/>
        <v>12009.690444145352</v>
      </c>
      <c r="F27" s="10">
        <f t="shared" si="24"/>
        <v>6095.8277254374179</v>
      </c>
      <c r="G27" s="10">
        <f t="shared" si="24"/>
        <v>15694.481830417235</v>
      </c>
      <c r="H27" s="10">
        <f t="shared" si="24"/>
        <v>0</v>
      </c>
      <c r="I27" s="10">
        <f t="shared" si="24"/>
        <v>2401.9380888290711</v>
      </c>
      <c r="J27" s="10">
        <f t="shared" si="24"/>
        <v>33800</v>
      </c>
      <c r="K27" s="10">
        <f t="shared" si="24"/>
        <v>34983</v>
      </c>
      <c r="L27" s="10">
        <f t="shared" si="24"/>
        <v>36032.490000000005</v>
      </c>
      <c r="M27" s="10">
        <f t="shared" si="24"/>
        <v>37113.464700000011</v>
      </c>
      <c r="N27" s="3"/>
      <c r="O27" s="3"/>
      <c r="P27" s="3"/>
      <c r="Q27" s="3"/>
      <c r="R27" s="3"/>
    </row>
    <row r="28" spans="2:18" x14ac:dyDescent="0.25"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"/>
      <c r="O28" s="3"/>
      <c r="P28" s="3"/>
      <c r="Q28" s="3"/>
      <c r="R28" s="3"/>
    </row>
    <row r="29" spans="2:18" x14ac:dyDescent="0.25">
      <c r="B29" s="6" t="s">
        <v>70</v>
      </c>
      <c r="C29" s="10">
        <f>C27+C8</f>
        <v>39300</v>
      </c>
      <c r="D29" s="10">
        <f t="shared" ref="D29:M29" si="25">D27+D8</f>
        <v>18505.518169582767</v>
      </c>
      <c r="E29" s="10">
        <f t="shared" si="25"/>
        <v>12009.690444145352</v>
      </c>
      <c r="F29" s="10">
        <f t="shared" si="25"/>
        <v>6095.8277254374179</v>
      </c>
      <c r="G29" s="10"/>
      <c r="H29" s="10">
        <f t="shared" si="25"/>
        <v>-400</v>
      </c>
      <c r="I29" s="10"/>
      <c r="J29" s="10">
        <f>J27+J8</f>
        <v>38000</v>
      </c>
      <c r="K29" s="10">
        <f t="shared" si="25"/>
        <v>89309</v>
      </c>
      <c r="L29" s="10">
        <f t="shared" si="25"/>
        <v>90488.27</v>
      </c>
      <c r="M29" s="10">
        <f t="shared" si="25"/>
        <v>91702.91810000001</v>
      </c>
      <c r="N29" s="3"/>
      <c r="O29" s="3"/>
      <c r="P29" s="3"/>
      <c r="Q29" s="3"/>
      <c r="R29" s="3"/>
    </row>
    <row r="30" spans="2:18" x14ac:dyDescent="0.25">
      <c r="B30" s="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"/>
      <c r="O30" s="3"/>
      <c r="P30" s="3"/>
      <c r="Q30" s="3"/>
      <c r="R30" s="3"/>
    </row>
    <row r="31" spans="2:18" x14ac:dyDescent="0.25">
      <c r="B31" s="6" t="s">
        <v>0</v>
      </c>
      <c r="C31" s="10">
        <v>0</v>
      </c>
      <c r="D31" s="10">
        <v>0</v>
      </c>
      <c r="E31" s="10">
        <v>0</v>
      </c>
      <c r="F31" s="10">
        <v>0</v>
      </c>
      <c r="G31" s="10"/>
      <c r="H31" s="10">
        <f t="shared" ref="H31" si="26">E31+F31+G31-D31</f>
        <v>0</v>
      </c>
      <c r="I31" s="10"/>
      <c r="J31" s="10">
        <v>0</v>
      </c>
      <c r="K31" s="10">
        <v>0</v>
      </c>
      <c r="L31" s="10">
        <v>0</v>
      </c>
      <c r="M31" s="10">
        <v>0</v>
      </c>
      <c r="N31" s="3"/>
      <c r="O31" s="3"/>
      <c r="P31" s="3"/>
      <c r="Q31" s="3"/>
      <c r="R31" s="3"/>
    </row>
    <row r="32" spans="2:18" x14ac:dyDescent="0.25"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"/>
      <c r="O32" s="3"/>
      <c r="P32" s="3"/>
      <c r="Q32" s="3"/>
      <c r="R32" s="3"/>
    </row>
    <row r="33" spans="2:18" x14ac:dyDescent="0.25">
      <c r="B33" s="6" t="s">
        <v>73</v>
      </c>
      <c r="C33" s="10">
        <f t="shared" ref="C33:M33" si="27">C29+C31</f>
        <v>39300</v>
      </c>
      <c r="D33" s="10">
        <f t="shared" si="27"/>
        <v>18505.518169582767</v>
      </c>
      <c r="E33" s="10">
        <f t="shared" si="27"/>
        <v>12009.690444145352</v>
      </c>
      <c r="F33" s="10">
        <f t="shared" si="27"/>
        <v>6095.8277254374179</v>
      </c>
      <c r="G33" s="10"/>
      <c r="H33" s="10">
        <f t="shared" si="27"/>
        <v>-400</v>
      </c>
      <c r="I33" s="10"/>
      <c r="J33" s="10">
        <f t="shared" ref="J33" si="28">J29+J31</f>
        <v>38000</v>
      </c>
      <c r="K33" s="10">
        <f t="shared" si="27"/>
        <v>89309</v>
      </c>
      <c r="L33" s="10">
        <f t="shared" si="27"/>
        <v>90488.27</v>
      </c>
      <c r="M33" s="10">
        <f t="shared" si="27"/>
        <v>91702.91810000001</v>
      </c>
      <c r="N33" s="3"/>
      <c r="O33" s="3"/>
      <c r="P33" s="3"/>
      <c r="Q33" s="3"/>
      <c r="R33" s="3"/>
    </row>
    <row r="35" spans="2:18" x14ac:dyDescent="0.25">
      <c r="B35" s="2"/>
    </row>
    <row r="38" spans="2:18" x14ac:dyDescent="0.25">
      <c r="B38" s="29"/>
    </row>
  </sheetData>
  <pageMargins left="0.7" right="0.7" top="0.75" bottom="0.75" header="0.3" footer="0.3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R24"/>
  <sheetViews>
    <sheetView workbookViewId="0">
      <selection activeCell="B21" sqref="B21:L24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18" ht="30" x14ac:dyDescent="0.25">
      <c r="B2" s="6" t="s">
        <v>10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18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x14ac:dyDescent="0.25">
      <c r="B5" s="7" t="s">
        <v>79</v>
      </c>
      <c r="C5" s="13">
        <v>1200</v>
      </c>
      <c r="D5" s="13">
        <v>400</v>
      </c>
      <c r="E5" s="13">
        <v>402</v>
      </c>
      <c r="F5" s="13">
        <v>218</v>
      </c>
      <c r="G5" s="13"/>
      <c r="H5" s="13">
        <f t="shared" ref="H5:H9" si="0">E5+F5-D5</f>
        <v>220</v>
      </c>
      <c r="I5" s="13"/>
      <c r="J5" s="13">
        <v>1660</v>
      </c>
      <c r="K5" s="13">
        <f t="shared" ref="K5:M9" si="1">J5*1.03</f>
        <v>1709.8</v>
      </c>
      <c r="L5" s="13">
        <f t="shared" si="1"/>
        <v>1761.0940000000001</v>
      </c>
      <c r="M5" s="13">
        <f t="shared" si="1"/>
        <v>1813.9268200000001</v>
      </c>
      <c r="N5" s="3"/>
      <c r="O5" s="3"/>
      <c r="P5" s="3"/>
      <c r="Q5" s="3"/>
      <c r="R5" s="3"/>
    </row>
    <row r="6" spans="2:18" x14ac:dyDescent="0.25">
      <c r="B6" s="7" t="s">
        <v>81</v>
      </c>
      <c r="C6" s="13">
        <v>600</v>
      </c>
      <c r="D6" s="13">
        <v>200</v>
      </c>
      <c r="E6" s="13">
        <v>442</v>
      </c>
      <c r="F6" s="10"/>
      <c r="G6" s="10"/>
      <c r="H6" s="13">
        <f t="shared" si="0"/>
        <v>242</v>
      </c>
      <c r="I6" s="13"/>
      <c r="J6" s="13">
        <v>600</v>
      </c>
      <c r="K6" s="13">
        <f t="shared" si="1"/>
        <v>618</v>
      </c>
      <c r="L6" s="13">
        <f t="shared" si="1"/>
        <v>636.54</v>
      </c>
      <c r="M6" s="13">
        <f t="shared" si="1"/>
        <v>655.63620000000003</v>
      </c>
      <c r="N6" s="3"/>
      <c r="O6" s="3"/>
      <c r="P6" s="3"/>
      <c r="Q6" s="3"/>
      <c r="R6" s="3"/>
    </row>
    <row r="7" spans="2:18" x14ac:dyDescent="0.25">
      <c r="B7" s="7" t="s">
        <v>148</v>
      </c>
      <c r="C7" s="13">
        <v>0</v>
      </c>
      <c r="D7" s="13">
        <v>0</v>
      </c>
      <c r="E7" s="13">
        <v>235</v>
      </c>
      <c r="F7" s="13"/>
      <c r="G7" s="13"/>
      <c r="H7" s="13">
        <f t="shared" si="0"/>
        <v>235</v>
      </c>
      <c r="I7" s="13"/>
      <c r="J7" s="13">
        <v>235</v>
      </c>
      <c r="K7" s="13">
        <f t="shared" si="1"/>
        <v>242.05</v>
      </c>
      <c r="L7" s="13">
        <f t="shared" si="1"/>
        <v>249.31150000000002</v>
      </c>
      <c r="M7" s="13">
        <f t="shared" si="1"/>
        <v>256.79084500000005</v>
      </c>
      <c r="N7" s="3"/>
      <c r="O7" s="3"/>
      <c r="P7" s="3"/>
      <c r="Q7" s="3"/>
      <c r="R7" s="3"/>
    </row>
    <row r="8" spans="2:18" x14ac:dyDescent="0.25">
      <c r="B8" s="7" t="s">
        <v>69</v>
      </c>
      <c r="C8" s="13">
        <v>600</v>
      </c>
      <c r="D8" s="13">
        <v>600</v>
      </c>
      <c r="E8" s="10"/>
      <c r="F8" s="10"/>
      <c r="G8" s="10"/>
      <c r="H8" s="13">
        <f t="shared" si="0"/>
        <v>-600</v>
      </c>
      <c r="I8" s="13"/>
      <c r="J8" s="13"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3"/>
      <c r="O8" s="3"/>
      <c r="P8" s="3"/>
      <c r="Q8" s="3"/>
      <c r="R8" s="3"/>
    </row>
    <row r="9" spans="2:18" x14ac:dyDescent="0.25">
      <c r="B9" s="7" t="s">
        <v>68</v>
      </c>
      <c r="C9" s="13">
        <v>600</v>
      </c>
      <c r="D9" s="13">
        <v>200</v>
      </c>
      <c r="E9" s="13">
        <v>98</v>
      </c>
      <c r="F9" s="13">
        <v>65</v>
      </c>
      <c r="G9" s="13"/>
      <c r="H9" s="13">
        <f t="shared" si="0"/>
        <v>-37</v>
      </c>
      <c r="I9" s="13"/>
      <c r="J9" s="13">
        <v>600</v>
      </c>
      <c r="K9" s="13">
        <f t="shared" si="1"/>
        <v>618</v>
      </c>
      <c r="L9" s="13">
        <f t="shared" si="1"/>
        <v>636.54</v>
      </c>
      <c r="M9" s="13">
        <f t="shared" si="1"/>
        <v>655.63620000000003</v>
      </c>
      <c r="N9" s="3"/>
      <c r="O9" s="3"/>
      <c r="P9" s="3"/>
      <c r="Q9" s="3"/>
      <c r="R9" s="3"/>
    </row>
    <row r="10" spans="2:18" x14ac:dyDescent="0.25">
      <c r="B10" s="6" t="s">
        <v>80</v>
      </c>
      <c r="C10" s="10">
        <f>SUM(C5:C9)</f>
        <v>3000</v>
      </c>
      <c r="D10" s="10">
        <f t="shared" ref="D10:M10" si="2">SUM(D5:D9)</f>
        <v>1400</v>
      </c>
      <c r="E10" s="10">
        <f t="shared" si="2"/>
        <v>1177</v>
      </c>
      <c r="F10" s="10">
        <f t="shared" si="2"/>
        <v>283</v>
      </c>
      <c r="G10" s="10">
        <f t="shared" si="2"/>
        <v>0</v>
      </c>
      <c r="H10" s="10">
        <f t="shared" si="2"/>
        <v>60</v>
      </c>
      <c r="I10" s="10">
        <f t="shared" si="2"/>
        <v>0</v>
      </c>
      <c r="J10" s="10">
        <f>SUM(J5:J9)</f>
        <v>3095</v>
      </c>
      <c r="K10" s="10">
        <f t="shared" si="2"/>
        <v>3187.8500000000004</v>
      </c>
      <c r="L10" s="10">
        <f t="shared" si="2"/>
        <v>3283.4854999999998</v>
      </c>
      <c r="M10" s="10">
        <f t="shared" si="2"/>
        <v>3381.990065</v>
      </c>
      <c r="N10" s="3"/>
      <c r="O10" s="3"/>
      <c r="P10" s="3"/>
      <c r="Q10" s="3"/>
      <c r="R10" s="3"/>
    </row>
    <row r="11" spans="2:18" x14ac:dyDescent="0.25">
      <c r="B11" s="8"/>
      <c r="C11" s="13"/>
      <c r="D11" s="10"/>
      <c r="E11" s="10"/>
      <c r="F11" s="10"/>
      <c r="G11" s="10"/>
      <c r="H11" s="13"/>
      <c r="I11" s="13"/>
      <c r="J11" s="13"/>
      <c r="K11" s="13"/>
      <c r="L11" s="13"/>
      <c r="M11" s="13"/>
      <c r="N11" s="3"/>
      <c r="O11" s="3"/>
      <c r="P11" s="3"/>
      <c r="Q11" s="3"/>
      <c r="R11" s="3"/>
    </row>
    <row r="12" spans="2:18" x14ac:dyDescent="0.25">
      <c r="B12" s="6" t="s">
        <v>140</v>
      </c>
      <c r="C12" s="10">
        <v>82900</v>
      </c>
      <c r="D12" s="10">
        <f>E12+F12</f>
        <v>44407.009421265146</v>
      </c>
      <c r="E12" s="10">
        <v>29456</v>
      </c>
      <c r="F12" s="10">
        <v>14951.009421265142</v>
      </c>
      <c r="G12" s="10">
        <f>J12-F12-E12</f>
        <v>38492.990578734854</v>
      </c>
      <c r="H12" s="10">
        <f t="shared" ref="H12" si="3">E12+F12-D12</f>
        <v>0</v>
      </c>
      <c r="I12" s="10">
        <v>5891.1440107671588</v>
      </c>
      <c r="J12" s="10">
        <v>82900</v>
      </c>
      <c r="K12" s="10">
        <f>J12*1.035</f>
        <v>85801.5</v>
      </c>
      <c r="L12" s="10">
        <f t="shared" ref="L12:M12" si="4">K12*1.03</f>
        <v>88375.544999999998</v>
      </c>
      <c r="M12" s="10">
        <f t="shared" si="4"/>
        <v>91026.811350000004</v>
      </c>
      <c r="N12" s="3"/>
      <c r="O12" s="3"/>
      <c r="P12" s="3"/>
      <c r="Q12" s="3"/>
      <c r="R12" s="3"/>
    </row>
    <row r="13" spans="2:18" x14ac:dyDescent="0.2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18" x14ac:dyDescent="0.25">
      <c r="B14" s="6" t="s">
        <v>70</v>
      </c>
      <c r="C14" s="10">
        <f t="shared" ref="C14:M14" si="5">C12+C10</f>
        <v>85900</v>
      </c>
      <c r="D14" s="10">
        <f t="shared" si="5"/>
        <v>45807.009421265146</v>
      </c>
      <c r="E14" s="10">
        <f t="shared" si="5"/>
        <v>30633</v>
      </c>
      <c r="F14" s="10">
        <f t="shared" si="5"/>
        <v>15234.009421265142</v>
      </c>
      <c r="G14" s="10">
        <f t="shared" si="5"/>
        <v>38492.990578734854</v>
      </c>
      <c r="H14" s="10">
        <f t="shared" si="5"/>
        <v>60</v>
      </c>
      <c r="I14" s="10">
        <f t="shared" si="5"/>
        <v>5891.1440107671588</v>
      </c>
      <c r="J14" s="10">
        <f t="shared" ref="J14" si="6">J12+J10</f>
        <v>85995</v>
      </c>
      <c r="K14" s="10">
        <f t="shared" si="5"/>
        <v>88989.35</v>
      </c>
      <c r="L14" s="10">
        <f t="shared" si="5"/>
        <v>91659.030499999993</v>
      </c>
      <c r="M14" s="10">
        <f t="shared" si="5"/>
        <v>94408.801415000009</v>
      </c>
      <c r="N14" s="3"/>
      <c r="O14" s="3"/>
      <c r="P14" s="3"/>
      <c r="Q14" s="3"/>
      <c r="R14" s="3"/>
    </row>
    <row r="15" spans="2:18" x14ac:dyDescent="0.2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18" x14ac:dyDescent="0.25">
      <c r="B16" s="7" t="s">
        <v>153</v>
      </c>
      <c r="C16" s="13">
        <v>-9900</v>
      </c>
      <c r="D16" s="13">
        <v>-4950</v>
      </c>
      <c r="E16" s="13">
        <v>-914</v>
      </c>
      <c r="F16" s="13">
        <f>-816-138</f>
        <v>-954</v>
      </c>
      <c r="G16" s="13"/>
      <c r="H16" s="13">
        <f t="shared" ref="H16" si="7">E16+F16-D16</f>
        <v>3082</v>
      </c>
      <c r="I16" s="13"/>
      <c r="J16" s="13">
        <v>-9900</v>
      </c>
      <c r="K16" s="13">
        <v>-9900</v>
      </c>
      <c r="L16" s="13">
        <v>-9900</v>
      </c>
      <c r="M16" s="13">
        <v>-9900</v>
      </c>
      <c r="N16" s="3"/>
      <c r="O16" s="3"/>
      <c r="P16" s="3"/>
      <c r="Q16" s="3"/>
      <c r="R16" s="3"/>
    </row>
    <row r="17" spans="2:18" x14ac:dyDescent="0.25">
      <c r="B17" s="6" t="s">
        <v>0</v>
      </c>
      <c r="C17" s="10">
        <f>C16</f>
        <v>-9900</v>
      </c>
      <c r="D17" s="10">
        <f t="shared" ref="D17:M17" si="8">D16</f>
        <v>-4950</v>
      </c>
      <c r="E17" s="10">
        <f t="shared" si="8"/>
        <v>-914</v>
      </c>
      <c r="F17" s="10">
        <f t="shared" si="8"/>
        <v>-954</v>
      </c>
      <c r="G17" s="10">
        <f t="shared" ref="G17:I17" si="9">G16</f>
        <v>0</v>
      </c>
      <c r="H17" s="10">
        <f t="shared" si="9"/>
        <v>3082</v>
      </c>
      <c r="I17" s="10">
        <f t="shared" si="9"/>
        <v>0</v>
      </c>
      <c r="J17" s="10">
        <f>J16</f>
        <v>-9900</v>
      </c>
      <c r="K17" s="10">
        <f t="shared" si="8"/>
        <v>-9900</v>
      </c>
      <c r="L17" s="10">
        <f t="shared" si="8"/>
        <v>-9900</v>
      </c>
      <c r="M17" s="10">
        <f t="shared" si="8"/>
        <v>-9900</v>
      </c>
      <c r="N17" s="3"/>
      <c r="O17" s="3"/>
      <c r="P17" s="3"/>
      <c r="Q17" s="3"/>
      <c r="R17" s="3"/>
    </row>
    <row r="18" spans="2:18" x14ac:dyDescent="0.25"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"/>
      <c r="O18" s="3"/>
      <c r="P18" s="3"/>
      <c r="Q18" s="3"/>
      <c r="R18" s="3"/>
    </row>
    <row r="19" spans="2:18" x14ac:dyDescent="0.25">
      <c r="B19" s="6" t="s">
        <v>73</v>
      </c>
      <c r="C19" s="10">
        <f t="shared" ref="C19:M19" si="10">C14+C17</f>
        <v>76000</v>
      </c>
      <c r="D19" s="10">
        <f t="shared" si="10"/>
        <v>40857.009421265146</v>
      </c>
      <c r="E19" s="10">
        <f t="shared" si="10"/>
        <v>29719</v>
      </c>
      <c r="F19" s="10">
        <f t="shared" si="10"/>
        <v>14280.009421265142</v>
      </c>
      <c r="G19" s="10">
        <f t="shared" ref="G19:I19" si="11">G14+G17</f>
        <v>38492.990578734854</v>
      </c>
      <c r="H19" s="10">
        <f t="shared" si="11"/>
        <v>3142</v>
      </c>
      <c r="I19" s="10">
        <f t="shared" si="11"/>
        <v>5891.1440107671588</v>
      </c>
      <c r="J19" s="10">
        <f t="shared" ref="J19" si="12">J14+J17</f>
        <v>76095</v>
      </c>
      <c r="K19" s="10">
        <f t="shared" si="10"/>
        <v>79089.350000000006</v>
      </c>
      <c r="L19" s="10">
        <f t="shared" si="10"/>
        <v>81759.030499999993</v>
      </c>
      <c r="M19" s="10">
        <f t="shared" si="10"/>
        <v>84508.801415000009</v>
      </c>
      <c r="N19" s="3"/>
      <c r="O19" s="3"/>
      <c r="P19" s="3"/>
      <c r="Q19" s="3"/>
      <c r="R19" s="3"/>
    </row>
    <row r="21" spans="2:18" x14ac:dyDescent="0.25">
      <c r="B21" s="2"/>
    </row>
    <row r="24" spans="2:18" x14ac:dyDescent="0.25">
      <c r="B24" s="37"/>
    </row>
  </sheetData>
  <pageMargins left="0.7" right="0.7" top="0.75" bottom="0.75" header="0.3" footer="0.3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R23"/>
  <sheetViews>
    <sheetView workbookViewId="0">
      <selection activeCell="B20" sqref="B20:L23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18" ht="30" x14ac:dyDescent="0.25">
      <c r="B2" s="6" t="s">
        <v>11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18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x14ac:dyDescent="0.25">
      <c r="B5" s="7" t="s">
        <v>79</v>
      </c>
      <c r="C5" s="13">
        <v>2500</v>
      </c>
      <c r="D5" s="13">
        <v>830</v>
      </c>
      <c r="E5" s="13">
        <v>450</v>
      </c>
      <c r="F5" s="13">
        <v>130</v>
      </c>
      <c r="G5" s="13"/>
      <c r="H5" s="13">
        <f t="shared" ref="H5:H7" si="0">E5+F5-D5</f>
        <v>-250</v>
      </c>
      <c r="I5" s="13"/>
      <c r="J5" s="13">
        <v>2500</v>
      </c>
      <c r="K5" s="13">
        <f t="shared" ref="K5:M7" si="1">J5*1.03</f>
        <v>2575</v>
      </c>
      <c r="L5" s="13">
        <f t="shared" si="1"/>
        <v>2652.25</v>
      </c>
      <c r="M5" s="13">
        <f t="shared" si="1"/>
        <v>2731.8175000000001</v>
      </c>
      <c r="N5" s="3"/>
      <c r="O5" s="3"/>
      <c r="P5" s="3"/>
      <c r="Q5" s="3"/>
      <c r="R5" s="3"/>
    </row>
    <row r="6" spans="2:18" x14ac:dyDescent="0.25">
      <c r="B6" s="7" t="s">
        <v>69</v>
      </c>
      <c r="C6" s="13">
        <v>500</v>
      </c>
      <c r="D6" s="13">
        <v>500</v>
      </c>
      <c r="E6" s="10"/>
      <c r="F6" s="10"/>
      <c r="G6" s="10"/>
      <c r="H6" s="13">
        <f t="shared" si="0"/>
        <v>-500</v>
      </c>
      <c r="I6" s="13"/>
      <c r="J6" s="13">
        <v>0</v>
      </c>
      <c r="K6" s="13">
        <f t="shared" si="1"/>
        <v>0</v>
      </c>
      <c r="L6" s="13">
        <f t="shared" si="1"/>
        <v>0</v>
      </c>
      <c r="M6" s="13">
        <f t="shared" si="1"/>
        <v>0</v>
      </c>
      <c r="N6" s="3"/>
      <c r="O6" s="3"/>
      <c r="P6" s="3"/>
      <c r="Q6" s="3"/>
      <c r="R6" s="3"/>
    </row>
    <row r="7" spans="2:18" x14ac:dyDescent="0.25">
      <c r="B7" s="7" t="s">
        <v>81</v>
      </c>
      <c r="C7" s="13">
        <v>2400</v>
      </c>
      <c r="D7" s="13">
        <v>800</v>
      </c>
      <c r="E7" s="10"/>
      <c r="F7" s="13">
        <v>63</v>
      </c>
      <c r="G7" s="10"/>
      <c r="H7" s="13">
        <f t="shared" si="0"/>
        <v>-737</v>
      </c>
      <c r="I7" s="13"/>
      <c r="J7" s="13">
        <v>2400</v>
      </c>
      <c r="K7" s="13">
        <f t="shared" si="1"/>
        <v>2472</v>
      </c>
      <c r="L7" s="13">
        <f t="shared" si="1"/>
        <v>2546.16</v>
      </c>
      <c r="M7" s="13">
        <f t="shared" si="1"/>
        <v>2622.5448000000001</v>
      </c>
      <c r="N7" s="3"/>
      <c r="O7" s="3"/>
      <c r="P7" s="3"/>
      <c r="Q7" s="3"/>
      <c r="R7" s="3"/>
    </row>
    <row r="8" spans="2:18" x14ac:dyDescent="0.25">
      <c r="B8" s="6" t="s">
        <v>80</v>
      </c>
      <c r="C8" s="10">
        <f t="shared" ref="C8:M8" si="2">SUM(C5:C7)</f>
        <v>5400</v>
      </c>
      <c r="D8" s="10">
        <f t="shared" si="2"/>
        <v>2130</v>
      </c>
      <c r="E8" s="10">
        <f t="shared" si="2"/>
        <v>450</v>
      </c>
      <c r="F8" s="10">
        <f t="shared" si="2"/>
        <v>193</v>
      </c>
      <c r="G8" s="10">
        <f t="shared" si="2"/>
        <v>0</v>
      </c>
      <c r="H8" s="10">
        <f t="shared" si="2"/>
        <v>-1487</v>
      </c>
      <c r="I8" s="10">
        <f t="shared" si="2"/>
        <v>0</v>
      </c>
      <c r="J8" s="10">
        <f t="shared" ref="J8" si="3">SUM(J5:J7)</f>
        <v>4900</v>
      </c>
      <c r="K8" s="10">
        <f t="shared" si="2"/>
        <v>5047</v>
      </c>
      <c r="L8" s="10">
        <f t="shared" si="2"/>
        <v>5198.41</v>
      </c>
      <c r="M8" s="10">
        <f t="shared" si="2"/>
        <v>5354.3623000000007</v>
      </c>
      <c r="N8" s="3"/>
      <c r="O8" s="3"/>
      <c r="P8" s="3"/>
      <c r="Q8" s="3"/>
      <c r="R8" s="3"/>
    </row>
    <row r="9" spans="2:18" x14ac:dyDescent="0.25">
      <c r="B9" s="8"/>
      <c r="C9" s="13"/>
      <c r="D9" s="10"/>
      <c r="E9" s="10"/>
      <c r="F9" s="10"/>
      <c r="G9" s="10"/>
      <c r="H9" s="13"/>
      <c r="I9" s="13"/>
      <c r="J9" s="13"/>
      <c r="K9" s="13"/>
      <c r="L9" s="13"/>
      <c r="M9" s="13"/>
      <c r="N9" s="3"/>
      <c r="O9" s="3"/>
      <c r="P9" s="3"/>
      <c r="Q9" s="3"/>
      <c r="R9" s="3"/>
    </row>
    <row r="10" spans="2:18" x14ac:dyDescent="0.25">
      <c r="B10" s="6" t="s">
        <v>140</v>
      </c>
      <c r="C10" s="10">
        <v>91300</v>
      </c>
      <c r="D10" s="10">
        <f>E10+F10</f>
        <v>48905.948855989234</v>
      </c>
      <c r="E10" s="10">
        <v>32440</v>
      </c>
      <c r="F10" s="10">
        <v>16465.948855989234</v>
      </c>
      <c r="G10" s="10">
        <f>J10-F10-E10</f>
        <v>42394.051144010766</v>
      </c>
      <c r="H10" s="10">
        <f t="shared" ref="H10" si="4">E10+F10-D10</f>
        <v>0</v>
      </c>
      <c r="I10" s="10">
        <v>6488.0753701211306</v>
      </c>
      <c r="J10" s="10">
        <v>91300</v>
      </c>
      <c r="K10" s="10">
        <f>J10*1.035</f>
        <v>94495.499999999985</v>
      </c>
      <c r="L10" s="10">
        <f t="shared" ref="L10:M10" si="5">K10*1.03</f>
        <v>97330.364999999991</v>
      </c>
      <c r="M10" s="10">
        <f t="shared" si="5"/>
        <v>100250.27595</v>
      </c>
      <c r="N10" s="3"/>
      <c r="O10" s="3"/>
      <c r="P10" s="3"/>
      <c r="Q10" s="3"/>
      <c r="R10" s="3"/>
    </row>
    <row r="11" spans="2:18" x14ac:dyDescent="0.2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18" x14ac:dyDescent="0.25">
      <c r="B12" s="6" t="s">
        <v>70</v>
      </c>
      <c r="C12" s="10">
        <f t="shared" ref="C12:M12" si="6">C10+C8</f>
        <v>96700</v>
      </c>
      <c r="D12" s="10">
        <f t="shared" si="6"/>
        <v>51035.948855989234</v>
      </c>
      <c r="E12" s="10">
        <f t="shared" si="6"/>
        <v>32890</v>
      </c>
      <c r="F12" s="10">
        <f t="shared" si="6"/>
        <v>16658.948855989234</v>
      </c>
      <c r="G12" s="10">
        <f t="shared" si="6"/>
        <v>42394.051144010766</v>
      </c>
      <c r="H12" s="10">
        <f t="shared" si="6"/>
        <v>-1487</v>
      </c>
      <c r="I12" s="10">
        <f t="shared" si="6"/>
        <v>6488.0753701211306</v>
      </c>
      <c r="J12" s="10">
        <f t="shared" ref="J12" si="7">J10+J8</f>
        <v>96200</v>
      </c>
      <c r="K12" s="10">
        <f t="shared" si="6"/>
        <v>99542.499999999985</v>
      </c>
      <c r="L12" s="10">
        <f t="shared" si="6"/>
        <v>102528.77499999999</v>
      </c>
      <c r="M12" s="10">
        <f t="shared" si="6"/>
        <v>105604.63824999999</v>
      </c>
      <c r="N12" s="3"/>
      <c r="O12" s="3"/>
      <c r="P12" s="3"/>
      <c r="Q12" s="3"/>
      <c r="R12" s="3"/>
    </row>
    <row r="13" spans="2:18" x14ac:dyDescent="0.2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18" x14ac:dyDescent="0.25">
      <c r="B14" s="7" t="s">
        <v>153</v>
      </c>
      <c r="C14" s="13">
        <v>-4600</v>
      </c>
      <c r="D14" s="13">
        <v>-2300</v>
      </c>
      <c r="E14" s="13">
        <v>-3239</v>
      </c>
      <c r="F14" s="13">
        <f>-784-365</f>
        <v>-1149</v>
      </c>
      <c r="G14" s="13"/>
      <c r="H14" s="13">
        <f t="shared" ref="H14:H15" si="8">E14+F14-D14</f>
        <v>-2088</v>
      </c>
      <c r="I14" s="13"/>
      <c r="J14" s="13">
        <v>-4600</v>
      </c>
      <c r="K14" s="13">
        <v>-4600</v>
      </c>
      <c r="L14" s="13">
        <v>-4600</v>
      </c>
      <c r="M14" s="13">
        <v>-4600</v>
      </c>
      <c r="N14" s="3"/>
      <c r="O14" s="3"/>
      <c r="P14" s="3"/>
      <c r="Q14" s="3"/>
      <c r="R14" s="3"/>
    </row>
    <row r="15" spans="2:18" x14ac:dyDescent="0.25">
      <c r="B15" s="7" t="s">
        <v>89</v>
      </c>
      <c r="C15" s="13">
        <v>-4800</v>
      </c>
      <c r="D15" s="13">
        <v>-3125</v>
      </c>
      <c r="E15" s="13">
        <v>-3125</v>
      </c>
      <c r="F15" s="10"/>
      <c r="G15" s="10"/>
      <c r="H15" s="13">
        <f t="shared" si="8"/>
        <v>0</v>
      </c>
      <c r="I15" s="13"/>
      <c r="J15" s="13">
        <v>-6250</v>
      </c>
      <c r="K15" s="13">
        <v>-6250</v>
      </c>
      <c r="L15" s="13">
        <v>-6250</v>
      </c>
      <c r="M15" s="13">
        <v>-6250</v>
      </c>
      <c r="N15" s="3"/>
      <c r="O15" s="3"/>
      <c r="P15" s="3"/>
      <c r="Q15" s="3"/>
      <c r="R15" s="3"/>
    </row>
    <row r="16" spans="2:18" x14ac:dyDescent="0.25">
      <c r="B16" s="6" t="s">
        <v>0</v>
      </c>
      <c r="C16" s="10">
        <f>SUM(C14:C15)</f>
        <v>-9400</v>
      </c>
      <c r="D16" s="10">
        <f t="shared" ref="D16:M16" si="9">SUM(D14:D15)</f>
        <v>-5425</v>
      </c>
      <c r="E16" s="10">
        <f t="shared" si="9"/>
        <v>-6364</v>
      </c>
      <c r="F16" s="10">
        <f t="shared" si="9"/>
        <v>-1149</v>
      </c>
      <c r="G16" s="10">
        <f t="shared" si="9"/>
        <v>0</v>
      </c>
      <c r="H16" s="10">
        <f t="shared" si="9"/>
        <v>-2088</v>
      </c>
      <c r="I16" s="10">
        <f t="shared" si="9"/>
        <v>0</v>
      </c>
      <c r="J16" s="10">
        <f>SUM(J14:J15)</f>
        <v>-10850</v>
      </c>
      <c r="K16" s="10">
        <f t="shared" si="9"/>
        <v>-10850</v>
      </c>
      <c r="L16" s="10">
        <f t="shared" si="9"/>
        <v>-10850</v>
      </c>
      <c r="M16" s="10">
        <f t="shared" si="9"/>
        <v>-10850</v>
      </c>
      <c r="N16" s="3"/>
      <c r="O16" s="3"/>
      <c r="P16" s="3"/>
      <c r="Q16" s="3"/>
      <c r="R16" s="3"/>
    </row>
    <row r="17" spans="2:18" x14ac:dyDescent="0.25">
      <c r="B17" s="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"/>
      <c r="O17" s="3"/>
      <c r="P17" s="3"/>
      <c r="Q17" s="3"/>
      <c r="R17" s="3"/>
    </row>
    <row r="18" spans="2:18" x14ac:dyDescent="0.25">
      <c r="B18" s="6" t="s">
        <v>73</v>
      </c>
      <c r="C18" s="10">
        <f t="shared" ref="C18:M18" si="10">C12+C16</f>
        <v>87300</v>
      </c>
      <c r="D18" s="10">
        <f t="shared" si="10"/>
        <v>45610.948855989234</v>
      </c>
      <c r="E18" s="10">
        <f t="shared" si="10"/>
        <v>26526</v>
      </c>
      <c r="F18" s="10">
        <f t="shared" si="10"/>
        <v>15509.948855989234</v>
      </c>
      <c r="G18" s="10">
        <f t="shared" si="10"/>
        <v>42394.051144010766</v>
      </c>
      <c r="H18" s="10">
        <f t="shared" si="10"/>
        <v>-3575</v>
      </c>
      <c r="I18" s="10">
        <f t="shared" si="10"/>
        <v>6488.0753701211306</v>
      </c>
      <c r="J18" s="10">
        <f t="shared" ref="J18" si="11">J12+J16</f>
        <v>85350</v>
      </c>
      <c r="K18" s="10">
        <f t="shared" si="10"/>
        <v>88692.499999999985</v>
      </c>
      <c r="L18" s="10">
        <f t="shared" si="10"/>
        <v>91678.774999999994</v>
      </c>
      <c r="M18" s="10">
        <f t="shared" si="10"/>
        <v>94754.638249999989</v>
      </c>
      <c r="N18" s="3"/>
      <c r="O18" s="3"/>
      <c r="P18" s="3"/>
      <c r="Q18" s="3"/>
      <c r="R18" s="3"/>
    </row>
    <row r="20" spans="2:18" x14ac:dyDescent="0.25">
      <c r="B20" s="2"/>
    </row>
    <row r="23" spans="2:18" x14ac:dyDescent="0.25">
      <c r="B23" s="37"/>
    </row>
  </sheetData>
  <pageMargins left="0.7" right="0.7" top="0.75" bottom="0.75" header="0.3" footer="0.3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R18"/>
  <sheetViews>
    <sheetView workbookViewId="0">
      <selection activeCell="B18" sqref="B18:J20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18" ht="30" x14ac:dyDescent="0.25">
      <c r="B2" s="6" t="s">
        <v>101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18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x14ac:dyDescent="0.25">
      <c r="B5" s="7" t="s">
        <v>79</v>
      </c>
      <c r="C5" s="13">
        <v>300</v>
      </c>
      <c r="D5" s="13">
        <v>100</v>
      </c>
      <c r="E5">
        <v>67</v>
      </c>
      <c r="F5" s="13">
        <v>64</v>
      </c>
      <c r="G5" s="13"/>
      <c r="H5" s="13">
        <f t="shared" ref="H5:H7" si="0">E5+F5-D5</f>
        <v>31</v>
      </c>
      <c r="I5" s="13"/>
      <c r="J5" s="13">
        <v>400</v>
      </c>
      <c r="K5" s="13">
        <f t="shared" ref="K5:M6" si="1">J5*1.03</f>
        <v>412</v>
      </c>
      <c r="L5" s="13">
        <f t="shared" si="1"/>
        <v>424.36</v>
      </c>
      <c r="M5" s="13">
        <f t="shared" si="1"/>
        <v>437.0908</v>
      </c>
      <c r="N5" s="3"/>
      <c r="O5" s="3"/>
      <c r="P5" s="3"/>
      <c r="Q5" s="3"/>
      <c r="R5" s="3"/>
    </row>
    <row r="6" spans="2:18" x14ac:dyDescent="0.25">
      <c r="B6" s="7" t="s">
        <v>81</v>
      </c>
      <c r="C6" s="13">
        <v>600</v>
      </c>
      <c r="D6" s="13">
        <v>200</v>
      </c>
      <c r="E6" s="13">
        <v>194</v>
      </c>
      <c r="F6" s="13">
        <v>97</v>
      </c>
      <c r="G6" s="10"/>
      <c r="H6" s="13">
        <f t="shared" si="0"/>
        <v>91</v>
      </c>
      <c r="I6" s="13"/>
      <c r="J6" s="13">
        <v>600</v>
      </c>
      <c r="K6" s="13">
        <f t="shared" si="1"/>
        <v>618</v>
      </c>
      <c r="L6" s="13">
        <f t="shared" si="1"/>
        <v>636.54</v>
      </c>
      <c r="M6" s="13">
        <f t="shared" si="1"/>
        <v>655.63620000000003</v>
      </c>
      <c r="N6" s="3"/>
      <c r="O6" s="3"/>
      <c r="P6" s="3"/>
      <c r="Q6" s="3"/>
      <c r="R6" s="3"/>
    </row>
    <row r="7" spans="2:18" x14ac:dyDescent="0.25">
      <c r="B7" s="7" t="s">
        <v>58</v>
      </c>
      <c r="C7" s="13">
        <v>1100</v>
      </c>
      <c r="D7" s="13">
        <v>1100</v>
      </c>
      <c r="E7" s="13">
        <v>1142</v>
      </c>
      <c r="F7" s="13"/>
      <c r="G7" s="13"/>
      <c r="H7" s="13">
        <f t="shared" si="0"/>
        <v>42</v>
      </c>
      <c r="I7" s="13"/>
      <c r="J7" s="13">
        <v>1142</v>
      </c>
      <c r="K7" s="13">
        <v>1270</v>
      </c>
      <c r="L7" s="13">
        <v>1310</v>
      </c>
      <c r="M7" s="13">
        <v>1350</v>
      </c>
      <c r="N7" s="3"/>
      <c r="O7" s="3"/>
      <c r="P7" s="3"/>
      <c r="Q7" s="3"/>
      <c r="R7" s="3"/>
    </row>
    <row r="8" spans="2:18" x14ac:dyDescent="0.25">
      <c r="B8" s="6" t="s">
        <v>80</v>
      </c>
      <c r="C8" s="10">
        <f t="shared" ref="C8:M8" si="2">SUM(C5:C7)</f>
        <v>2000</v>
      </c>
      <c r="D8" s="10">
        <f t="shared" si="2"/>
        <v>1400</v>
      </c>
      <c r="E8" s="10">
        <f t="shared" si="2"/>
        <v>1403</v>
      </c>
      <c r="F8" s="10">
        <f>SUM(F5:F7)</f>
        <v>161</v>
      </c>
      <c r="G8" s="10">
        <f t="shared" ref="G8:I8" si="3">SUM(G5:G7)</f>
        <v>0</v>
      </c>
      <c r="H8" s="10">
        <f t="shared" si="3"/>
        <v>164</v>
      </c>
      <c r="I8" s="10">
        <f t="shared" si="3"/>
        <v>0</v>
      </c>
      <c r="J8" s="10">
        <f t="shared" ref="J8" si="4">SUM(J5:J7)</f>
        <v>2142</v>
      </c>
      <c r="K8" s="10">
        <f t="shared" si="2"/>
        <v>2300</v>
      </c>
      <c r="L8" s="10">
        <f t="shared" si="2"/>
        <v>2370.9</v>
      </c>
      <c r="M8" s="10">
        <f t="shared" si="2"/>
        <v>2442.7269999999999</v>
      </c>
      <c r="N8" s="3"/>
      <c r="O8" s="3"/>
      <c r="P8" s="3"/>
      <c r="Q8" s="3"/>
      <c r="R8" s="3"/>
    </row>
    <row r="9" spans="2:18" x14ac:dyDescent="0.25">
      <c r="B9" s="8"/>
      <c r="C9" s="13"/>
      <c r="D9" s="10"/>
      <c r="E9" s="10"/>
      <c r="F9" s="10"/>
      <c r="G9" s="10"/>
      <c r="H9" s="10"/>
      <c r="I9" s="10"/>
      <c r="J9" s="13"/>
      <c r="K9" s="13"/>
      <c r="L9" s="13"/>
      <c r="M9" s="13"/>
      <c r="N9" s="3"/>
      <c r="O9" s="3"/>
      <c r="P9" s="3"/>
      <c r="Q9" s="3"/>
      <c r="R9" s="3"/>
    </row>
    <row r="10" spans="2:18" x14ac:dyDescent="0.25">
      <c r="B10" s="6" t="s">
        <v>140</v>
      </c>
      <c r="C10" s="10">
        <v>5800</v>
      </c>
      <c r="D10" s="10">
        <f>E10+F10</f>
        <v>3107.029609690444</v>
      </c>
      <c r="E10" s="10">
        <v>2061</v>
      </c>
      <c r="F10" s="10">
        <v>1046.029609690444</v>
      </c>
      <c r="G10" s="10">
        <f>J10-F10-E10</f>
        <v>2692.970390309556</v>
      </c>
      <c r="H10" s="10">
        <f t="shared" ref="H10" si="5">E10+F10-D10</f>
        <v>0</v>
      </c>
      <c r="I10" s="10">
        <v>412.16689098250333</v>
      </c>
      <c r="J10" s="10">
        <v>5800</v>
      </c>
      <c r="K10" s="10">
        <f>J10*1.035</f>
        <v>6002.9999999999991</v>
      </c>
      <c r="L10" s="10">
        <f t="shared" ref="L10:M10" si="6">K10*1.03</f>
        <v>6183.0899999999992</v>
      </c>
      <c r="M10" s="10">
        <f t="shared" si="6"/>
        <v>6368.582699999999</v>
      </c>
      <c r="N10" s="3"/>
      <c r="O10" s="3"/>
      <c r="P10" s="3"/>
      <c r="Q10" s="3"/>
      <c r="R10" s="3"/>
    </row>
    <row r="11" spans="2:18" x14ac:dyDescent="0.2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18" x14ac:dyDescent="0.25">
      <c r="B12" s="6" t="s">
        <v>70</v>
      </c>
      <c r="C12" s="10">
        <f t="shared" ref="C12:M12" si="7">C10+C8</f>
        <v>7800</v>
      </c>
      <c r="D12" s="10">
        <f t="shared" si="7"/>
        <v>4507.029609690444</v>
      </c>
      <c r="E12" s="10">
        <f t="shared" si="7"/>
        <v>3464</v>
      </c>
      <c r="F12" s="10">
        <f t="shared" si="7"/>
        <v>1207.029609690444</v>
      </c>
      <c r="G12" s="10">
        <f t="shared" ref="G12:I12" si="8">G10+G8</f>
        <v>2692.970390309556</v>
      </c>
      <c r="H12" s="10">
        <f t="shared" si="8"/>
        <v>164</v>
      </c>
      <c r="I12" s="10">
        <f t="shared" si="8"/>
        <v>412.16689098250333</v>
      </c>
      <c r="J12" s="10">
        <f t="shared" ref="J12" si="9">J10+J8</f>
        <v>7942</v>
      </c>
      <c r="K12" s="10">
        <f t="shared" si="7"/>
        <v>8303</v>
      </c>
      <c r="L12" s="10">
        <f t="shared" si="7"/>
        <v>8553.99</v>
      </c>
      <c r="M12" s="10">
        <f t="shared" si="7"/>
        <v>8811.309699999998</v>
      </c>
      <c r="N12" s="3"/>
      <c r="O12" s="3"/>
      <c r="P12" s="3"/>
      <c r="Q12" s="3"/>
      <c r="R12" s="3"/>
    </row>
    <row r="13" spans="2:18" x14ac:dyDescent="0.2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18" x14ac:dyDescent="0.25">
      <c r="B14" s="6" t="s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3"/>
      <c r="O14" s="3"/>
      <c r="P14" s="3"/>
      <c r="Q14" s="3"/>
      <c r="R14" s="3"/>
    </row>
    <row r="15" spans="2:18" x14ac:dyDescent="0.2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18" x14ac:dyDescent="0.25">
      <c r="B16" s="6" t="s">
        <v>73</v>
      </c>
      <c r="C16" s="10">
        <f t="shared" ref="C16:M16" si="10">C12+C14</f>
        <v>7800</v>
      </c>
      <c r="D16" s="10">
        <f t="shared" si="10"/>
        <v>4507.029609690444</v>
      </c>
      <c r="E16" s="10">
        <f t="shared" si="10"/>
        <v>3464</v>
      </c>
      <c r="F16" s="10">
        <f t="shared" si="10"/>
        <v>1207.029609690444</v>
      </c>
      <c r="G16" s="10">
        <f t="shared" ref="G16:I16" si="11">G12+G14</f>
        <v>2692.970390309556</v>
      </c>
      <c r="H16" s="10">
        <f t="shared" si="11"/>
        <v>164</v>
      </c>
      <c r="I16" s="10">
        <f t="shared" si="11"/>
        <v>412.16689098250333</v>
      </c>
      <c r="J16" s="10">
        <f t="shared" ref="J16" si="12">J12+J14</f>
        <v>7942</v>
      </c>
      <c r="K16" s="10">
        <f t="shared" si="10"/>
        <v>8303</v>
      </c>
      <c r="L16" s="10">
        <f t="shared" si="10"/>
        <v>8553.99</v>
      </c>
      <c r="M16" s="10">
        <f t="shared" si="10"/>
        <v>8811.309699999998</v>
      </c>
      <c r="N16" s="3"/>
      <c r="O16" s="3"/>
      <c r="P16" s="3"/>
      <c r="Q16" s="3"/>
      <c r="R16" s="3"/>
    </row>
    <row r="18" spans="2:2" x14ac:dyDescent="0.25">
      <c r="B18" s="2"/>
    </row>
  </sheetData>
  <pageMargins left="0.7" right="0.7" top="0.75" bottom="0.75" header="0.3" footer="0.3"/>
  <pageSetup paperSize="9"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T17"/>
  <sheetViews>
    <sheetView workbookViewId="0">
      <selection activeCell="B17" sqref="B17:J19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102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81</v>
      </c>
      <c r="C5" s="13">
        <v>1800</v>
      </c>
      <c r="D5" s="13">
        <v>600</v>
      </c>
      <c r="E5" s="10"/>
      <c r="F5" s="10"/>
      <c r="G5" s="10"/>
      <c r="H5" s="13">
        <f t="shared" ref="H5:H6" si="0">E5+F5-D5</f>
        <v>-600</v>
      </c>
      <c r="I5" s="13"/>
      <c r="J5" s="13">
        <v>1800</v>
      </c>
      <c r="K5" s="13">
        <f t="shared" ref="K5:M5" si="1">J5*1.03</f>
        <v>1854</v>
      </c>
      <c r="L5" s="13">
        <f t="shared" si="1"/>
        <v>1909.6200000000001</v>
      </c>
      <c r="M5" s="13">
        <f t="shared" si="1"/>
        <v>1966.9086000000002</v>
      </c>
      <c r="N5" s="3"/>
      <c r="O5" s="3"/>
      <c r="P5" s="3"/>
      <c r="Q5" s="3"/>
      <c r="R5" s="3"/>
    </row>
    <row r="6" spans="2:20" x14ac:dyDescent="0.25">
      <c r="B6" s="7" t="s">
        <v>58</v>
      </c>
      <c r="C6" s="13">
        <v>1100</v>
      </c>
      <c r="D6" s="13">
        <v>1100</v>
      </c>
      <c r="E6" s="13">
        <v>1095</v>
      </c>
      <c r="F6" s="13"/>
      <c r="G6" s="13"/>
      <c r="H6" s="13">
        <f t="shared" si="0"/>
        <v>-5</v>
      </c>
      <c r="I6" s="13"/>
      <c r="J6" s="13">
        <v>1095</v>
      </c>
      <c r="K6" s="13">
        <v>1290</v>
      </c>
      <c r="L6" s="13">
        <v>1320</v>
      </c>
      <c r="M6" s="13">
        <v>1360</v>
      </c>
      <c r="N6" s="3"/>
      <c r="O6" s="3"/>
      <c r="P6" s="3"/>
      <c r="Q6" s="3"/>
      <c r="R6" s="3"/>
    </row>
    <row r="7" spans="2:20" x14ac:dyDescent="0.25">
      <c r="B7" s="6" t="s">
        <v>80</v>
      </c>
      <c r="C7" s="10">
        <f t="shared" ref="C7:M7" si="2">SUM(C5:C6)</f>
        <v>2900</v>
      </c>
      <c r="D7" s="10">
        <f t="shared" si="2"/>
        <v>1700</v>
      </c>
      <c r="E7" s="10">
        <f t="shared" si="2"/>
        <v>1095</v>
      </c>
      <c r="F7" s="10">
        <f t="shared" si="2"/>
        <v>0</v>
      </c>
      <c r="G7" s="10">
        <f t="shared" si="2"/>
        <v>0</v>
      </c>
      <c r="H7" s="10">
        <f t="shared" si="2"/>
        <v>-605</v>
      </c>
      <c r="I7" s="10">
        <f t="shared" si="2"/>
        <v>0</v>
      </c>
      <c r="J7" s="10">
        <f t="shared" ref="J7" si="3">SUM(J5:J6)</f>
        <v>2895</v>
      </c>
      <c r="K7" s="10">
        <f t="shared" si="2"/>
        <v>3144</v>
      </c>
      <c r="L7" s="10">
        <f t="shared" si="2"/>
        <v>3229.62</v>
      </c>
      <c r="M7" s="10">
        <f t="shared" si="2"/>
        <v>3326.9086000000002</v>
      </c>
      <c r="N7" s="3"/>
      <c r="O7" s="3"/>
      <c r="P7" s="3"/>
      <c r="Q7" s="3"/>
      <c r="R7" s="3"/>
    </row>
    <row r="8" spans="2:20" x14ac:dyDescent="0.25">
      <c r="B8" s="8"/>
      <c r="C8" s="13"/>
      <c r="D8" s="10"/>
      <c r="E8" s="10"/>
      <c r="F8" s="10"/>
      <c r="G8" s="10"/>
      <c r="H8" s="13"/>
      <c r="I8" s="13"/>
      <c r="J8" s="13"/>
      <c r="K8" s="13"/>
      <c r="L8" s="13"/>
      <c r="M8" s="13"/>
      <c r="N8" s="3"/>
      <c r="O8" s="3"/>
      <c r="P8" s="3"/>
      <c r="Q8" s="3"/>
      <c r="R8" s="3"/>
    </row>
    <row r="9" spans="2:20" x14ac:dyDescent="0.25">
      <c r="B9" s="6" t="s">
        <v>140</v>
      </c>
      <c r="C9" s="10">
        <v>6600</v>
      </c>
      <c r="D9" s="10">
        <f>E9+F9</f>
        <v>3535.3095558546433</v>
      </c>
      <c r="E9" s="10">
        <v>2345</v>
      </c>
      <c r="F9" s="10">
        <v>1190.3095558546433</v>
      </c>
      <c r="G9" s="10">
        <f>J9-F9-E9</f>
        <v>3064.6904441453571</v>
      </c>
      <c r="H9" s="10">
        <f t="shared" ref="H9" si="4">E9+F9-D9</f>
        <v>0</v>
      </c>
      <c r="I9" s="10">
        <v>469.01749663526238</v>
      </c>
      <c r="J9" s="10">
        <v>6600</v>
      </c>
      <c r="K9" s="10">
        <f>J9*1.035</f>
        <v>6830.9999999999991</v>
      </c>
      <c r="L9" s="10">
        <f t="shared" ref="L9:M9" si="5">K9*1.03</f>
        <v>7035.9299999999994</v>
      </c>
      <c r="M9" s="10">
        <f t="shared" si="5"/>
        <v>7247.0078999999996</v>
      </c>
      <c r="N9" s="3"/>
      <c r="O9" s="3"/>
      <c r="P9" s="3"/>
      <c r="Q9" s="3"/>
      <c r="R9" s="3"/>
    </row>
    <row r="10" spans="2:20" x14ac:dyDescent="0.2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20" x14ac:dyDescent="0.25">
      <c r="B11" s="6" t="s">
        <v>70</v>
      </c>
      <c r="C11" s="10">
        <f t="shared" ref="C11:M11" si="6">C9+C7</f>
        <v>9500</v>
      </c>
      <c r="D11" s="10">
        <f t="shared" si="6"/>
        <v>5235.3095558546429</v>
      </c>
      <c r="E11" s="10">
        <f t="shared" si="6"/>
        <v>3440</v>
      </c>
      <c r="F11" s="10">
        <f t="shared" si="6"/>
        <v>1190.3095558546433</v>
      </c>
      <c r="G11" s="10">
        <f t="shared" si="6"/>
        <v>3064.6904441453571</v>
      </c>
      <c r="H11" s="10">
        <f t="shared" si="6"/>
        <v>-605</v>
      </c>
      <c r="I11" s="10">
        <f t="shared" si="6"/>
        <v>469.01749663526238</v>
      </c>
      <c r="J11" s="10">
        <f t="shared" ref="J11" si="7">J9+J7</f>
        <v>9495</v>
      </c>
      <c r="K11" s="10">
        <f t="shared" si="6"/>
        <v>9975</v>
      </c>
      <c r="L11" s="10">
        <f t="shared" si="6"/>
        <v>10265.549999999999</v>
      </c>
      <c r="M11" s="10">
        <f t="shared" si="6"/>
        <v>10573.916499999999</v>
      </c>
      <c r="N11" s="3"/>
      <c r="O11" s="3"/>
      <c r="P11" s="3"/>
      <c r="Q11" s="3"/>
      <c r="R11" s="3"/>
    </row>
    <row r="12" spans="2:20" x14ac:dyDescent="0.2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20" x14ac:dyDescent="0.25">
      <c r="B13" s="6" t="s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>E13+F13+G13-D13</f>
        <v>0</v>
      </c>
      <c r="I13" s="10">
        <v>0</v>
      </c>
      <c r="J13" s="10">
        <f>F13+H13-E13</f>
        <v>0</v>
      </c>
      <c r="K13" s="10">
        <v>0</v>
      </c>
      <c r="L13" s="10">
        <v>0</v>
      </c>
      <c r="M13" s="10">
        <v>0</v>
      </c>
      <c r="N13" s="3"/>
      <c r="O13" s="3"/>
      <c r="P13" s="3"/>
      <c r="Q13" s="3"/>
      <c r="R13" s="3"/>
    </row>
    <row r="14" spans="2:20" x14ac:dyDescent="0.2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20" x14ac:dyDescent="0.25">
      <c r="B15" s="6" t="s">
        <v>73</v>
      </c>
      <c r="C15" s="10">
        <f t="shared" ref="C15:M15" si="8">C11+C13</f>
        <v>9500</v>
      </c>
      <c r="D15" s="10">
        <f t="shared" si="8"/>
        <v>5235.3095558546429</v>
      </c>
      <c r="E15" s="10">
        <f t="shared" si="8"/>
        <v>3440</v>
      </c>
      <c r="F15" s="10">
        <f t="shared" si="8"/>
        <v>1190.3095558546433</v>
      </c>
      <c r="G15" s="10">
        <f t="shared" si="8"/>
        <v>3064.6904441453571</v>
      </c>
      <c r="H15" s="10">
        <f t="shared" si="8"/>
        <v>-605</v>
      </c>
      <c r="I15" s="10">
        <f t="shared" si="8"/>
        <v>469.01749663526238</v>
      </c>
      <c r="J15" s="10">
        <f t="shared" ref="J15" si="9">J11+J13</f>
        <v>9495</v>
      </c>
      <c r="K15" s="10">
        <f t="shared" si="8"/>
        <v>9975</v>
      </c>
      <c r="L15" s="10">
        <f t="shared" si="8"/>
        <v>10265.549999999999</v>
      </c>
      <c r="M15" s="10">
        <f t="shared" si="8"/>
        <v>10573.916499999999</v>
      </c>
      <c r="N15" s="3"/>
      <c r="O15" s="3"/>
      <c r="P15" s="3"/>
      <c r="Q15" s="3"/>
      <c r="R15" s="3"/>
    </row>
    <row r="17" spans="2:2" x14ac:dyDescent="0.25">
      <c r="B17" s="2"/>
    </row>
  </sheetData>
  <pageMargins left="0.7" right="0.7" top="0.75" bottom="0.75" header="0.3" footer="0.3"/>
  <pageSetup paperSize="9"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T22"/>
  <sheetViews>
    <sheetView workbookViewId="0">
      <selection activeCell="B19" sqref="B19:L22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103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81</v>
      </c>
      <c r="C5" s="13">
        <v>900</v>
      </c>
      <c r="D5" s="13">
        <v>300</v>
      </c>
      <c r="E5" s="13"/>
      <c r="F5" s="10"/>
      <c r="G5" s="10"/>
      <c r="H5" s="13">
        <f t="shared" ref="H5:H8" si="0">E5+F5-D5</f>
        <v>-300</v>
      </c>
      <c r="I5" s="13"/>
      <c r="J5" s="13">
        <v>900</v>
      </c>
      <c r="K5" s="13">
        <f t="shared" ref="K5:M7" si="1">J5*1.03</f>
        <v>927</v>
      </c>
      <c r="L5" s="13">
        <f t="shared" si="1"/>
        <v>954.81000000000006</v>
      </c>
      <c r="M5" s="13">
        <f t="shared" si="1"/>
        <v>983.4543000000001</v>
      </c>
      <c r="N5" s="3"/>
      <c r="O5" s="3"/>
      <c r="P5" s="3"/>
      <c r="Q5" s="3"/>
      <c r="R5" s="3"/>
    </row>
    <row r="6" spans="2:20" x14ac:dyDescent="0.25">
      <c r="B6" s="7" t="s">
        <v>79</v>
      </c>
      <c r="C6" s="13">
        <v>0</v>
      </c>
      <c r="D6" s="13">
        <v>72</v>
      </c>
      <c r="E6" s="13">
        <v>72</v>
      </c>
      <c r="F6" s="13">
        <v>68</v>
      </c>
      <c r="G6" s="13"/>
      <c r="H6" s="13">
        <f t="shared" si="0"/>
        <v>68</v>
      </c>
      <c r="I6" s="13"/>
      <c r="J6" s="13">
        <v>460</v>
      </c>
      <c r="K6" s="13">
        <f t="shared" si="1"/>
        <v>473.8</v>
      </c>
      <c r="L6" s="13">
        <f t="shared" si="1"/>
        <v>488.01400000000001</v>
      </c>
      <c r="M6" s="13">
        <f t="shared" si="1"/>
        <v>502.65442000000002</v>
      </c>
      <c r="N6" s="3"/>
      <c r="O6" s="3"/>
      <c r="P6" s="3"/>
      <c r="Q6" s="3"/>
      <c r="R6" s="3"/>
    </row>
    <row r="7" spans="2:20" x14ac:dyDescent="0.25">
      <c r="B7" s="7" t="s">
        <v>69</v>
      </c>
      <c r="C7" s="13">
        <v>100</v>
      </c>
      <c r="D7" s="13">
        <v>100</v>
      </c>
      <c r="E7" s="10"/>
      <c r="F7" s="10"/>
      <c r="G7" s="10"/>
      <c r="H7" s="13">
        <f t="shared" si="0"/>
        <v>-100</v>
      </c>
      <c r="I7" s="13"/>
      <c r="J7" s="13">
        <v>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3"/>
      <c r="O7" s="3"/>
      <c r="P7" s="3"/>
      <c r="Q7" s="3"/>
      <c r="R7" s="3"/>
    </row>
    <row r="8" spans="2:20" x14ac:dyDescent="0.25">
      <c r="B8" s="7" t="s">
        <v>58</v>
      </c>
      <c r="C8" s="13">
        <v>2000</v>
      </c>
      <c r="D8" s="13">
        <v>2000</v>
      </c>
      <c r="E8" s="13">
        <v>1957</v>
      </c>
      <c r="F8" s="13"/>
      <c r="G8" s="13"/>
      <c r="H8" s="13">
        <f t="shared" si="0"/>
        <v>-43</v>
      </c>
      <c r="I8" s="13"/>
      <c r="J8" s="13">
        <v>1957</v>
      </c>
      <c r="K8" s="13">
        <v>2260</v>
      </c>
      <c r="L8" s="13">
        <v>2330</v>
      </c>
      <c r="M8" s="13">
        <v>2400</v>
      </c>
      <c r="N8" s="3"/>
      <c r="O8" s="3"/>
      <c r="P8" s="3"/>
      <c r="Q8" s="3"/>
      <c r="R8" s="3"/>
    </row>
    <row r="9" spans="2:20" x14ac:dyDescent="0.25">
      <c r="B9" s="6" t="s">
        <v>80</v>
      </c>
      <c r="C9" s="10">
        <f t="shared" ref="C9:M9" si="2">SUM(C5:C8)</f>
        <v>3000</v>
      </c>
      <c r="D9" s="10">
        <f t="shared" si="2"/>
        <v>2472</v>
      </c>
      <c r="E9" s="10">
        <f t="shared" si="2"/>
        <v>2029</v>
      </c>
      <c r="F9" s="10">
        <f t="shared" si="2"/>
        <v>68</v>
      </c>
      <c r="G9" s="10">
        <f t="shared" si="2"/>
        <v>0</v>
      </c>
      <c r="H9" s="10">
        <f t="shared" si="2"/>
        <v>-375</v>
      </c>
      <c r="I9" s="10">
        <f t="shared" si="2"/>
        <v>0</v>
      </c>
      <c r="J9" s="10">
        <f t="shared" ref="J9" si="3">SUM(J5:J8)</f>
        <v>3317</v>
      </c>
      <c r="K9" s="10">
        <f t="shared" si="2"/>
        <v>3660.8</v>
      </c>
      <c r="L9" s="10">
        <f t="shared" si="2"/>
        <v>3772.8240000000001</v>
      </c>
      <c r="M9" s="10">
        <f t="shared" si="2"/>
        <v>3886.1087200000002</v>
      </c>
      <c r="N9" s="3"/>
      <c r="O9" s="3"/>
      <c r="P9" s="3"/>
      <c r="Q9" s="3"/>
      <c r="R9" s="3"/>
    </row>
    <row r="10" spans="2:20" x14ac:dyDescent="0.25">
      <c r="B10" s="8"/>
      <c r="C10" s="13"/>
      <c r="D10" s="10"/>
      <c r="E10" s="10"/>
      <c r="F10" s="10"/>
      <c r="G10" s="10"/>
      <c r="H10" s="13"/>
      <c r="I10" s="13"/>
      <c r="J10" s="13"/>
      <c r="K10" s="13"/>
      <c r="L10" s="13"/>
      <c r="M10" s="13"/>
      <c r="N10" s="3"/>
      <c r="O10" s="3"/>
      <c r="P10" s="3"/>
      <c r="Q10" s="3"/>
      <c r="R10" s="3"/>
    </row>
    <row r="11" spans="2:20" x14ac:dyDescent="0.25">
      <c r="B11" s="6" t="s">
        <v>140</v>
      </c>
      <c r="C11" s="10">
        <v>18800</v>
      </c>
      <c r="D11" s="10">
        <f>E11+F11</f>
        <v>10070.578734858682</v>
      </c>
      <c r="E11" s="10">
        <v>6680</v>
      </c>
      <c r="F11" s="10">
        <v>3390.5787348586809</v>
      </c>
      <c r="G11" s="10">
        <f>J11-F11-E11</f>
        <v>8729.4212651413181</v>
      </c>
      <c r="H11" s="10">
        <f t="shared" ref="H11" si="4">E11+F11-D11</f>
        <v>0</v>
      </c>
      <c r="I11" s="10">
        <v>1335.9892328398385</v>
      </c>
      <c r="J11" s="10">
        <v>18800</v>
      </c>
      <c r="K11" s="10">
        <f>J11*1.035</f>
        <v>19458</v>
      </c>
      <c r="L11" s="10">
        <f t="shared" ref="L11:M11" si="5">K11*1.03</f>
        <v>20041.740000000002</v>
      </c>
      <c r="M11" s="10">
        <f t="shared" si="5"/>
        <v>20642.992200000001</v>
      </c>
      <c r="N11" s="3"/>
      <c r="O11" s="3"/>
      <c r="P11" s="3"/>
      <c r="Q11" s="3"/>
      <c r="R11" s="3"/>
    </row>
    <row r="12" spans="2:20" x14ac:dyDescent="0.2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20" x14ac:dyDescent="0.25">
      <c r="B13" s="6" t="s">
        <v>70</v>
      </c>
      <c r="C13" s="10">
        <f t="shared" ref="C13:M13" si="6">C11+C9</f>
        <v>21800</v>
      </c>
      <c r="D13" s="10">
        <f t="shared" si="6"/>
        <v>12542.578734858682</v>
      </c>
      <c r="E13" s="10">
        <f t="shared" si="6"/>
        <v>8709</v>
      </c>
      <c r="F13" s="10">
        <f t="shared" si="6"/>
        <v>3458.5787348586809</v>
      </c>
      <c r="G13" s="10">
        <f t="shared" si="6"/>
        <v>8729.4212651413181</v>
      </c>
      <c r="H13" s="10">
        <f t="shared" si="6"/>
        <v>-375</v>
      </c>
      <c r="I13" s="10">
        <f t="shared" si="6"/>
        <v>1335.9892328398385</v>
      </c>
      <c r="J13" s="10">
        <f t="shared" ref="J13" si="7">J11+J9</f>
        <v>22117</v>
      </c>
      <c r="K13" s="10">
        <f t="shared" si="6"/>
        <v>23118.799999999999</v>
      </c>
      <c r="L13" s="10">
        <f t="shared" si="6"/>
        <v>23814.564000000002</v>
      </c>
      <c r="M13" s="10">
        <f t="shared" si="6"/>
        <v>24529.100920000001</v>
      </c>
      <c r="N13" s="3"/>
      <c r="O13" s="3"/>
      <c r="P13" s="3"/>
      <c r="Q13" s="3"/>
      <c r="R13" s="3"/>
    </row>
    <row r="14" spans="2:20" x14ac:dyDescent="0.2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20" x14ac:dyDescent="0.25">
      <c r="B15" s="6" t="s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>E15+F15+G15-D15</f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3"/>
      <c r="O15" s="3"/>
      <c r="P15" s="3"/>
      <c r="Q15" s="3"/>
      <c r="R15" s="3"/>
    </row>
    <row r="16" spans="2:20" x14ac:dyDescent="0.2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x14ac:dyDescent="0.25">
      <c r="B17" s="6" t="s">
        <v>73</v>
      </c>
      <c r="C17" s="10">
        <f t="shared" ref="C17:M17" si="8">C13+C15</f>
        <v>21800</v>
      </c>
      <c r="D17" s="10">
        <f t="shared" si="8"/>
        <v>12542.578734858682</v>
      </c>
      <c r="E17" s="10">
        <f t="shared" si="8"/>
        <v>8709</v>
      </c>
      <c r="F17" s="10">
        <f t="shared" si="8"/>
        <v>3458.5787348586809</v>
      </c>
      <c r="G17" s="10">
        <f t="shared" si="8"/>
        <v>8729.4212651413181</v>
      </c>
      <c r="H17" s="10">
        <f t="shared" si="8"/>
        <v>-375</v>
      </c>
      <c r="I17" s="10">
        <f t="shared" si="8"/>
        <v>1335.9892328398385</v>
      </c>
      <c r="J17" s="10">
        <f t="shared" ref="J17" si="9">J13+J15</f>
        <v>22117</v>
      </c>
      <c r="K17" s="10">
        <f t="shared" si="8"/>
        <v>23118.799999999999</v>
      </c>
      <c r="L17" s="10">
        <f t="shared" si="8"/>
        <v>23814.564000000002</v>
      </c>
      <c r="M17" s="10">
        <f t="shared" si="8"/>
        <v>24529.100920000001</v>
      </c>
      <c r="N17" s="3"/>
      <c r="O17" s="3"/>
      <c r="P17" s="3"/>
      <c r="Q17" s="3"/>
      <c r="R17" s="3"/>
    </row>
    <row r="19" spans="2:18" x14ac:dyDescent="0.25">
      <c r="B19" s="2"/>
    </row>
    <row r="22" spans="2:18" x14ac:dyDescent="0.25">
      <c r="B22" s="37"/>
    </row>
  </sheetData>
  <pageMargins left="0.7" right="0.7" top="0.75" bottom="0.75" header="0.3" footer="0.3"/>
  <pageSetup paperSize="9"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T20"/>
  <sheetViews>
    <sheetView workbookViewId="0">
      <selection activeCell="B18" sqref="B18:L20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105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79</v>
      </c>
      <c r="C5" s="13"/>
      <c r="D5" s="10"/>
      <c r="E5" s="10"/>
      <c r="F5" s="10"/>
      <c r="G5" s="10"/>
      <c r="H5" s="13">
        <f t="shared" ref="H5:H7" si="0">E5+F5-D5</f>
        <v>0</v>
      </c>
      <c r="I5" s="13"/>
      <c r="J5" s="13"/>
      <c r="K5" s="13"/>
      <c r="L5" s="13"/>
      <c r="M5" s="13"/>
      <c r="N5" s="3"/>
      <c r="O5" s="3"/>
      <c r="P5" s="3"/>
      <c r="Q5" s="3"/>
      <c r="R5" s="3"/>
    </row>
    <row r="6" spans="2:20" x14ac:dyDescent="0.25">
      <c r="B6" s="7" t="s">
        <v>81</v>
      </c>
      <c r="C6" s="13"/>
      <c r="D6" s="10"/>
      <c r="E6" s="10"/>
      <c r="F6" s="10"/>
      <c r="G6" s="10"/>
      <c r="H6" s="13">
        <f t="shared" si="0"/>
        <v>0</v>
      </c>
      <c r="I6" s="13"/>
      <c r="J6" s="13"/>
      <c r="K6" s="13"/>
      <c r="L6" s="13"/>
      <c r="M6" s="13"/>
      <c r="N6" s="3"/>
      <c r="O6" s="3"/>
      <c r="P6" s="3"/>
      <c r="Q6" s="3"/>
      <c r="R6" s="3"/>
    </row>
    <row r="7" spans="2:20" x14ac:dyDescent="0.25">
      <c r="B7" s="7" t="s">
        <v>69</v>
      </c>
      <c r="C7" s="13"/>
      <c r="D7" s="10"/>
      <c r="E7" s="10"/>
      <c r="F7" s="10"/>
      <c r="G7" s="10"/>
      <c r="H7" s="13">
        <f t="shared" si="0"/>
        <v>0</v>
      </c>
      <c r="I7" s="13"/>
      <c r="J7" s="13"/>
      <c r="K7" s="13"/>
      <c r="L7" s="13"/>
      <c r="M7" s="13"/>
      <c r="N7" s="3"/>
      <c r="O7" s="3"/>
      <c r="P7" s="3"/>
      <c r="Q7" s="3"/>
      <c r="R7" s="3"/>
    </row>
    <row r="8" spans="2:20" x14ac:dyDescent="0.25">
      <c r="B8" s="6" t="s">
        <v>80</v>
      </c>
      <c r="C8" s="10">
        <f t="shared" ref="C8:M8" si="1">SUM(C5:C7)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ref="J8" si="2">SUM(J5:J7)</f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3"/>
      <c r="O8" s="3"/>
      <c r="P8" s="3"/>
      <c r="Q8" s="3"/>
      <c r="R8" s="3"/>
    </row>
    <row r="9" spans="2:20" x14ac:dyDescent="0.25">
      <c r="B9" s="8"/>
      <c r="C9" s="13"/>
      <c r="D9" s="10"/>
      <c r="E9" s="10"/>
      <c r="F9" s="10"/>
      <c r="G9" s="10"/>
      <c r="H9" s="13"/>
      <c r="I9" s="13"/>
      <c r="J9" s="13"/>
      <c r="K9" s="13"/>
      <c r="L9" s="13"/>
      <c r="M9" s="13"/>
      <c r="N9" s="3"/>
      <c r="O9" s="3"/>
      <c r="P9" s="3"/>
      <c r="Q9" s="3"/>
      <c r="R9" s="3"/>
    </row>
    <row r="10" spans="2:20" x14ac:dyDescent="0.25">
      <c r="B10" s="6" t="s">
        <v>140</v>
      </c>
      <c r="C10" s="10">
        <v>6200</v>
      </c>
      <c r="D10" s="10">
        <f>E10+F10</f>
        <v>3321.1695827725434</v>
      </c>
      <c r="E10" s="10">
        <v>2203</v>
      </c>
      <c r="F10" s="10">
        <v>1118.1695827725437</v>
      </c>
      <c r="G10" s="10">
        <f>J10-F10-E10</f>
        <v>2878.8304172274566</v>
      </c>
      <c r="H10" s="10">
        <f>E10+F10-D10</f>
        <v>0</v>
      </c>
      <c r="I10" s="10">
        <v>440.592193808883</v>
      </c>
      <c r="J10" s="10">
        <v>6200</v>
      </c>
      <c r="K10" s="10">
        <f>J10*1.035</f>
        <v>6416.9999999999991</v>
      </c>
      <c r="L10" s="10">
        <f t="shared" ref="L10:M10" si="3">K10*1.03</f>
        <v>6609.5099999999993</v>
      </c>
      <c r="M10" s="10">
        <f t="shared" si="3"/>
        <v>6807.7952999999998</v>
      </c>
      <c r="N10" s="3"/>
      <c r="O10" s="3"/>
      <c r="P10" s="3"/>
      <c r="Q10" s="3"/>
      <c r="R10" s="3"/>
    </row>
    <row r="11" spans="2:20" x14ac:dyDescent="0.2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20" x14ac:dyDescent="0.25">
      <c r="B12" s="6" t="s">
        <v>70</v>
      </c>
      <c r="C12" s="10">
        <f t="shared" ref="C12:M12" si="4">C10+C8</f>
        <v>6200</v>
      </c>
      <c r="D12" s="10">
        <f t="shared" si="4"/>
        <v>3321.1695827725434</v>
      </c>
      <c r="E12" s="10">
        <f t="shared" si="4"/>
        <v>2203</v>
      </c>
      <c r="F12" s="10">
        <f t="shared" si="4"/>
        <v>1118.1695827725437</v>
      </c>
      <c r="G12" s="10">
        <f t="shared" si="4"/>
        <v>2878.8304172274566</v>
      </c>
      <c r="H12" s="10">
        <f t="shared" si="4"/>
        <v>0</v>
      </c>
      <c r="I12" s="10">
        <f t="shared" si="4"/>
        <v>440.592193808883</v>
      </c>
      <c r="J12" s="10">
        <f t="shared" ref="J12" si="5">J10+J8</f>
        <v>6200</v>
      </c>
      <c r="K12" s="10">
        <f t="shared" si="4"/>
        <v>6416.9999999999991</v>
      </c>
      <c r="L12" s="10">
        <f t="shared" si="4"/>
        <v>6609.5099999999993</v>
      </c>
      <c r="M12" s="10">
        <f t="shared" si="4"/>
        <v>6807.7952999999998</v>
      </c>
      <c r="N12" s="3"/>
      <c r="O12" s="3"/>
      <c r="P12" s="3"/>
      <c r="Q12" s="3"/>
      <c r="R12" s="3"/>
    </row>
    <row r="13" spans="2:20" x14ac:dyDescent="0.2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20" x14ac:dyDescent="0.25">
      <c r="B14" s="6" t="s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>E14+F14+G14-D14</f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3"/>
      <c r="O14" s="3"/>
      <c r="P14" s="3"/>
      <c r="Q14" s="3"/>
      <c r="R14" s="3"/>
    </row>
    <row r="15" spans="2:20" x14ac:dyDescent="0.2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20" x14ac:dyDescent="0.25">
      <c r="B16" s="6" t="s">
        <v>73</v>
      </c>
      <c r="C16" s="10">
        <f t="shared" ref="C16:M16" si="6">C12+C14</f>
        <v>6200</v>
      </c>
      <c r="D16" s="10">
        <f t="shared" si="6"/>
        <v>3321.1695827725434</v>
      </c>
      <c r="E16" s="10">
        <f t="shared" si="6"/>
        <v>2203</v>
      </c>
      <c r="F16" s="10">
        <f t="shared" si="6"/>
        <v>1118.1695827725437</v>
      </c>
      <c r="G16" s="10">
        <f t="shared" si="6"/>
        <v>2878.8304172274566</v>
      </c>
      <c r="H16" s="10">
        <f t="shared" si="6"/>
        <v>0</v>
      </c>
      <c r="I16" s="10">
        <f t="shared" si="6"/>
        <v>440.592193808883</v>
      </c>
      <c r="J16" s="10">
        <f t="shared" ref="J16" si="7">J12+J14</f>
        <v>6200</v>
      </c>
      <c r="K16" s="10">
        <f t="shared" si="6"/>
        <v>6416.9999999999991</v>
      </c>
      <c r="L16" s="10">
        <f t="shared" si="6"/>
        <v>6609.5099999999993</v>
      </c>
      <c r="M16" s="10">
        <f t="shared" si="6"/>
        <v>6807.7952999999998</v>
      </c>
      <c r="N16" s="3"/>
      <c r="O16" s="3"/>
      <c r="P16" s="3"/>
      <c r="Q16" s="3"/>
      <c r="R16" s="3"/>
    </row>
    <row r="18" spans="2:2" x14ac:dyDescent="0.25">
      <c r="B18" s="2"/>
    </row>
    <row r="20" spans="2:2" x14ac:dyDescent="0.25">
      <c r="B20" s="37"/>
    </row>
  </sheetData>
  <pageMargins left="0.7" right="0.7" top="0.75" bottom="0.75" header="0.3" footer="0.3"/>
  <pageSetup paperSize="9"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T20"/>
  <sheetViews>
    <sheetView workbookViewId="0">
      <selection activeCell="B18" sqref="B18:L20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104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79</v>
      </c>
      <c r="C5" s="13">
        <v>200</v>
      </c>
      <c r="D5" s="13">
        <v>70</v>
      </c>
      <c r="E5" s="13">
        <v>46</v>
      </c>
      <c r="F5" s="13">
        <v>46</v>
      </c>
      <c r="G5" s="13"/>
      <c r="H5" s="13">
        <f t="shared" ref="H5:H7" si="0">E5+F5-D5</f>
        <v>22</v>
      </c>
      <c r="I5" s="13"/>
      <c r="J5" s="13">
        <v>280</v>
      </c>
      <c r="K5" s="13">
        <f t="shared" ref="K5:M7" si="1">J5*1.03</f>
        <v>288.40000000000003</v>
      </c>
      <c r="L5" s="13">
        <f t="shared" si="1"/>
        <v>297.05200000000002</v>
      </c>
      <c r="M5" s="13">
        <f t="shared" si="1"/>
        <v>305.96356000000003</v>
      </c>
      <c r="N5" s="3"/>
      <c r="O5" s="3"/>
      <c r="P5" s="3"/>
      <c r="Q5" s="3"/>
      <c r="R5" s="3"/>
    </row>
    <row r="6" spans="2:20" x14ac:dyDescent="0.25">
      <c r="B6" s="7" t="s">
        <v>81</v>
      </c>
      <c r="C6" s="13">
        <v>400</v>
      </c>
      <c r="D6" s="13">
        <v>140</v>
      </c>
      <c r="E6" s="13">
        <v>80</v>
      </c>
      <c r="F6" s="13">
        <v>38</v>
      </c>
      <c r="G6" s="10"/>
      <c r="H6" s="13">
        <f t="shared" si="0"/>
        <v>-22</v>
      </c>
      <c r="I6" s="13"/>
      <c r="J6" s="13">
        <v>400</v>
      </c>
      <c r="K6" s="13">
        <f t="shared" si="1"/>
        <v>412</v>
      </c>
      <c r="L6" s="13">
        <f t="shared" si="1"/>
        <v>424.36</v>
      </c>
      <c r="M6" s="13">
        <f t="shared" si="1"/>
        <v>437.0908</v>
      </c>
      <c r="N6" s="3"/>
      <c r="O6" s="3"/>
      <c r="P6" s="3"/>
      <c r="Q6" s="3"/>
      <c r="R6" s="3"/>
    </row>
    <row r="7" spans="2:20" x14ac:dyDescent="0.25">
      <c r="B7" s="7" t="s">
        <v>69</v>
      </c>
      <c r="C7" s="13">
        <v>100</v>
      </c>
      <c r="D7" s="13">
        <v>100</v>
      </c>
      <c r="E7" s="10"/>
      <c r="F7" s="10"/>
      <c r="G7" s="10"/>
      <c r="H7" s="13">
        <f t="shared" si="0"/>
        <v>-100</v>
      </c>
      <c r="I7" s="13"/>
      <c r="J7" s="13">
        <v>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3"/>
      <c r="O7" s="3"/>
      <c r="P7" s="3"/>
      <c r="Q7" s="3"/>
      <c r="R7" s="3"/>
    </row>
    <row r="8" spans="2:20" x14ac:dyDescent="0.25">
      <c r="B8" s="6" t="s">
        <v>80</v>
      </c>
      <c r="C8" s="10">
        <f t="shared" ref="C8:M8" si="2">SUM(C5:C7)</f>
        <v>700</v>
      </c>
      <c r="D8" s="10">
        <f t="shared" si="2"/>
        <v>310</v>
      </c>
      <c r="E8" s="10">
        <f t="shared" si="2"/>
        <v>126</v>
      </c>
      <c r="F8" s="10">
        <f t="shared" si="2"/>
        <v>84</v>
      </c>
      <c r="G8" s="10">
        <f t="shared" si="2"/>
        <v>0</v>
      </c>
      <c r="H8" s="10">
        <f t="shared" si="2"/>
        <v>-100</v>
      </c>
      <c r="I8" s="10">
        <f t="shared" si="2"/>
        <v>0</v>
      </c>
      <c r="J8" s="10">
        <f t="shared" ref="J8" si="3">SUM(J5:J7)</f>
        <v>680</v>
      </c>
      <c r="K8" s="10">
        <f t="shared" si="2"/>
        <v>700.40000000000009</v>
      </c>
      <c r="L8" s="10">
        <f t="shared" si="2"/>
        <v>721.41200000000003</v>
      </c>
      <c r="M8" s="10">
        <f t="shared" si="2"/>
        <v>743.05436000000009</v>
      </c>
      <c r="N8" s="3"/>
      <c r="O8" s="3"/>
      <c r="P8" s="3"/>
      <c r="Q8" s="3"/>
      <c r="R8" s="3"/>
    </row>
    <row r="9" spans="2:20" x14ac:dyDescent="0.25">
      <c r="B9" s="8"/>
      <c r="C9" s="13"/>
      <c r="D9" s="10"/>
      <c r="E9" s="10"/>
      <c r="F9" s="10"/>
      <c r="G9" s="10"/>
      <c r="H9" s="13"/>
      <c r="I9" s="13"/>
      <c r="J9" s="13"/>
      <c r="K9" s="13"/>
      <c r="L9" s="13"/>
      <c r="M9" s="13"/>
      <c r="N9" s="3"/>
      <c r="O9" s="3"/>
      <c r="P9" s="3"/>
      <c r="Q9" s="3"/>
      <c r="R9" s="3"/>
    </row>
    <row r="10" spans="2:20" x14ac:dyDescent="0.25">
      <c r="B10" s="6" t="s">
        <v>140</v>
      </c>
      <c r="C10" s="10">
        <v>5800</v>
      </c>
      <c r="D10" s="10">
        <f>E10+F10</f>
        <v>3107.029609690444</v>
      </c>
      <c r="E10" s="10">
        <v>2061</v>
      </c>
      <c r="F10" s="10">
        <v>1046.029609690444</v>
      </c>
      <c r="G10" s="10">
        <f>J10-F10-E10</f>
        <v>2692.970390309556</v>
      </c>
      <c r="H10" s="10">
        <f t="shared" ref="H10" si="4">E10+F10-D10</f>
        <v>0</v>
      </c>
      <c r="I10" s="10">
        <v>412.16689098250333</v>
      </c>
      <c r="J10" s="10">
        <v>5800</v>
      </c>
      <c r="K10" s="10">
        <f>J10*1.035</f>
        <v>6002.9999999999991</v>
      </c>
      <c r="L10" s="10">
        <f t="shared" ref="L10:M10" si="5">K10*1.03</f>
        <v>6183.0899999999992</v>
      </c>
      <c r="M10" s="10">
        <f t="shared" si="5"/>
        <v>6368.582699999999</v>
      </c>
      <c r="N10" s="3"/>
      <c r="O10" s="3"/>
      <c r="P10" s="3"/>
      <c r="Q10" s="3"/>
      <c r="R10" s="3"/>
    </row>
    <row r="11" spans="2:20" x14ac:dyDescent="0.2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20" x14ac:dyDescent="0.25">
      <c r="B12" s="6" t="s">
        <v>70</v>
      </c>
      <c r="C12" s="10">
        <f t="shared" ref="C12:M12" si="6">C10+C8</f>
        <v>6500</v>
      </c>
      <c r="D12" s="10">
        <f t="shared" si="6"/>
        <v>3417.029609690444</v>
      </c>
      <c r="E12" s="10">
        <f t="shared" si="6"/>
        <v>2187</v>
      </c>
      <c r="F12" s="10">
        <f t="shared" si="6"/>
        <v>1130.029609690444</v>
      </c>
      <c r="G12" s="10">
        <f t="shared" si="6"/>
        <v>2692.970390309556</v>
      </c>
      <c r="H12" s="10">
        <f t="shared" si="6"/>
        <v>-100</v>
      </c>
      <c r="I12" s="10">
        <f t="shared" si="6"/>
        <v>412.16689098250333</v>
      </c>
      <c r="J12" s="10">
        <f t="shared" ref="J12" si="7">J10+J8</f>
        <v>6480</v>
      </c>
      <c r="K12" s="10">
        <f t="shared" si="6"/>
        <v>6703.4</v>
      </c>
      <c r="L12" s="10">
        <f t="shared" si="6"/>
        <v>6904.5019999999995</v>
      </c>
      <c r="M12" s="10">
        <f t="shared" si="6"/>
        <v>7111.6370599999991</v>
      </c>
      <c r="N12" s="3"/>
      <c r="O12" s="3"/>
      <c r="P12" s="3"/>
      <c r="Q12" s="3"/>
      <c r="R12" s="3"/>
    </row>
    <row r="13" spans="2:20" x14ac:dyDescent="0.2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20" x14ac:dyDescent="0.25">
      <c r="B14" s="6" t="s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>E14+F14+G14-D14</f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3"/>
      <c r="O14" s="3"/>
      <c r="P14" s="3"/>
      <c r="Q14" s="3"/>
      <c r="R14" s="3"/>
    </row>
    <row r="15" spans="2:20" x14ac:dyDescent="0.2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20" x14ac:dyDescent="0.25">
      <c r="B16" s="6" t="s">
        <v>73</v>
      </c>
      <c r="C16" s="10">
        <f t="shared" ref="C16:M16" si="8">C12+C14</f>
        <v>6500</v>
      </c>
      <c r="D16" s="10">
        <f t="shared" si="8"/>
        <v>3417.029609690444</v>
      </c>
      <c r="E16" s="10">
        <f t="shared" si="8"/>
        <v>2187</v>
      </c>
      <c r="F16" s="10">
        <f t="shared" si="8"/>
        <v>1130.029609690444</v>
      </c>
      <c r="G16" s="10">
        <f t="shared" si="8"/>
        <v>2692.970390309556</v>
      </c>
      <c r="H16" s="10">
        <f t="shared" si="8"/>
        <v>-100</v>
      </c>
      <c r="I16" s="10">
        <f t="shared" si="8"/>
        <v>412.16689098250333</v>
      </c>
      <c r="J16" s="10">
        <f t="shared" ref="J16" si="9">J12+J14</f>
        <v>6480</v>
      </c>
      <c r="K16" s="10">
        <f t="shared" si="8"/>
        <v>6703.4</v>
      </c>
      <c r="L16" s="10">
        <f t="shared" si="8"/>
        <v>6904.5019999999995</v>
      </c>
      <c r="M16" s="10">
        <f t="shared" si="8"/>
        <v>7111.6370599999991</v>
      </c>
      <c r="N16" s="3"/>
      <c r="O16" s="3"/>
      <c r="P16" s="3"/>
      <c r="Q16" s="3"/>
      <c r="R16" s="3"/>
    </row>
    <row r="18" spans="2:2" x14ac:dyDescent="0.25">
      <c r="B18" s="2"/>
    </row>
    <row r="20" spans="2:2" x14ac:dyDescent="0.25">
      <c r="B20" s="37"/>
    </row>
  </sheetData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52"/>
  <sheetViews>
    <sheetView topLeftCell="A31" workbookViewId="0">
      <selection activeCell="B3" sqref="B3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18" ht="31.5" x14ac:dyDescent="0.25">
      <c r="B2" s="19" t="s">
        <v>159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18" x14ac:dyDescent="0.25">
      <c r="B4" s="6" t="s">
        <v>157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x14ac:dyDescent="0.25">
      <c r="B5" s="6" t="str">
        <f>Museum!B2</f>
        <v>Arts, Heritage, &amp; Museums - RNPSA Museum</v>
      </c>
      <c r="C5" s="10">
        <f>Museum!C10</f>
        <v>1500</v>
      </c>
      <c r="D5" s="10">
        <f>Museum!D10</f>
        <v>106</v>
      </c>
      <c r="E5" s="10">
        <f>Museum!E10</f>
        <v>181</v>
      </c>
      <c r="F5" s="10">
        <f>Museum!F10</f>
        <v>0</v>
      </c>
      <c r="G5" s="10">
        <f>Museum!G10</f>
        <v>0</v>
      </c>
      <c r="H5" s="10">
        <f>Museum!H10</f>
        <v>75</v>
      </c>
      <c r="I5" s="10">
        <f>Museum!I10</f>
        <v>0</v>
      </c>
      <c r="J5" s="10">
        <f>Museum!J10</f>
        <v>1950</v>
      </c>
      <c r="K5" s="10">
        <f>Museum!K10</f>
        <v>1996.5</v>
      </c>
      <c r="L5" s="10">
        <f>Museum!L10</f>
        <v>2044.395</v>
      </c>
      <c r="M5" s="10">
        <f>Museum!M10</f>
        <v>2093.72685</v>
      </c>
      <c r="N5" s="3"/>
      <c r="O5" s="3"/>
      <c r="P5" s="3"/>
      <c r="Q5" s="3"/>
      <c r="R5" s="3"/>
    </row>
    <row r="6" spans="2:18" x14ac:dyDescent="0.25">
      <c r="B6" s="6" t="str">
        <f>'Caravan Site'!B2</f>
        <v>Camping &amp; Caravan Site - Tingdene</v>
      </c>
      <c r="C6" s="10">
        <f>'Caravan Site'!C8</f>
        <v>1300</v>
      </c>
      <c r="D6" s="10">
        <f>'Caravan Site'!D8</f>
        <v>0</v>
      </c>
      <c r="E6" s="10">
        <f>'Caravan Site'!E8</f>
        <v>0</v>
      </c>
      <c r="F6" s="10">
        <f>'Caravan Site'!F8</f>
        <v>0</v>
      </c>
      <c r="G6" s="10">
        <f>'Caravan Site'!G8</f>
        <v>0</v>
      </c>
      <c r="H6" s="10">
        <f>'Caravan Site'!H8</f>
        <v>0</v>
      </c>
      <c r="I6" s="10">
        <f>'Caravan Site'!I8</f>
        <v>0</v>
      </c>
      <c r="J6" s="10">
        <f>'Caravan Site'!J8</f>
        <v>1300</v>
      </c>
      <c r="K6" s="10">
        <f>'Caravan Site'!K8</f>
        <v>1300</v>
      </c>
      <c r="L6" s="10">
        <f>'Caravan Site'!L8</f>
        <v>1300</v>
      </c>
      <c r="M6" s="10">
        <f>'Caravan Site'!M8</f>
        <v>1300</v>
      </c>
      <c r="N6" s="3"/>
      <c r="O6" s="3"/>
      <c r="P6" s="3"/>
      <c r="Q6" s="3"/>
      <c r="R6" s="3"/>
    </row>
    <row r="7" spans="2:18" x14ac:dyDescent="0.25">
      <c r="B7" s="6" t="str">
        <f>CCTV!B2</f>
        <v>CCTV</v>
      </c>
      <c r="C7" s="10">
        <f>CCTV!C13</f>
        <v>292400</v>
      </c>
      <c r="D7" s="10">
        <f>CCTV!D13</f>
        <v>138405.84791386273</v>
      </c>
      <c r="E7" s="10">
        <f>CCTV!E13</f>
        <v>90386</v>
      </c>
      <c r="F7" s="10">
        <f>CCTV!F13</f>
        <v>45910.847913862715</v>
      </c>
      <c r="G7" s="10">
        <f>CCTV!G13</f>
        <v>117894.15208613727</v>
      </c>
      <c r="H7" s="10">
        <f>CCTV!H13</f>
        <v>-2109</v>
      </c>
      <c r="I7" s="10">
        <f>CCTV!I13</f>
        <v>18042.960969044412</v>
      </c>
      <c r="J7" s="10">
        <f>CCTV!J13</f>
        <v>255245</v>
      </c>
      <c r="K7" s="10">
        <f>CCTV!K13</f>
        <v>264171.84999999998</v>
      </c>
      <c r="L7" s="10">
        <f>CCTV!L13</f>
        <v>272097.00550000003</v>
      </c>
      <c r="M7" s="10">
        <f>CCTV!M13</f>
        <v>280259.91566500004</v>
      </c>
      <c r="N7" s="3"/>
      <c r="O7" s="3"/>
      <c r="P7" s="3"/>
      <c r="Q7" s="3"/>
      <c r="R7" s="3"/>
    </row>
    <row r="8" spans="2:18" x14ac:dyDescent="0.25">
      <c r="B8" s="6" t="str">
        <f>Events!B2</f>
        <v>Events</v>
      </c>
      <c r="C8" s="10">
        <f>Events!C11</f>
        <v>2900</v>
      </c>
      <c r="D8" s="10">
        <f>Events!D11</f>
        <v>120</v>
      </c>
      <c r="E8" s="10">
        <f>Events!E11</f>
        <v>120</v>
      </c>
      <c r="F8" s="10">
        <f>Events!F11</f>
        <v>0</v>
      </c>
      <c r="G8" s="10">
        <f>Events!G11</f>
        <v>0</v>
      </c>
      <c r="H8" s="10">
        <f>Events!H11</f>
        <v>0</v>
      </c>
      <c r="I8" s="10">
        <f>Events!I11</f>
        <v>0</v>
      </c>
      <c r="J8" s="10">
        <f>Events!J11</f>
        <v>2900</v>
      </c>
      <c r="K8" s="10">
        <f>Events!K11</f>
        <v>2933</v>
      </c>
      <c r="L8" s="10">
        <f>Events!L11</f>
        <v>2966.99</v>
      </c>
      <c r="M8" s="10">
        <f>Events!M11</f>
        <v>3001.9997000000003</v>
      </c>
      <c r="N8" s="3"/>
      <c r="O8" s="3"/>
      <c r="P8" s="3"/>
      <c r="Q8" s="3"/>
      <c r="R8" s="3"/>
    </row>
    <row r="9" spans="2:18" x14ac:dyDescent="0.25">
      <c r="B9" s="6" t="str">
        <f>'Marina Theatre'!B2</f>
        <v>Marina Theatre</v>
      </c>
      <c r="C9" s="10">
        <f>'Marina Theatre'!C13</f>
        <v>159100</v>
      </c>
      <c r="D9" s="10">
        <f>'Marina Theatre'!D13</f>
        <v>154207</v>
      </c>
      <c r="E9" s="10">
        <f>'Marina Theatre'!E13</f>
        <v>207</v>
      </c>
      <c r="F9" s="10">
        <f>'Marina Theatre'!F13</f>
        <v>150000</v>
      </c>
      <c r="G9" s="10">
        <f>'Marina Theatre'!G13</f>
        <v>0</v>
      </c>
      <c r="H9" s="10">
        <f>'Marina Theatre'!H13</f>
        <v>-4000</v>
      </c>
      <c r="I9" s="10">
        <f>'Marina Theatre'!I13</f>
        <v>0</v>
      </c>
      <c r="J9" s="10">
        <f>'Marina Theatre'!J13</f>
        <v>155100</v>
      </c>
      <c r="K9" s="10">
        <f>'Marina Theatre'!K13</f>
        <v>160000</v>
      </c>
      <c r="L9" s="10">
        <f>'Marina Theatre'!L13</f>
        <v>160000</v>
      </c>
      <c r="M9" s="10">
        <f>'Marina Theatre'!M13</f>
        <v>160000</v>
      </c>
      <c r="N9" s="3"/>
      <c r="O9" s="3"/>
      <c r="P9" s="3"/>
      <c r="Q9" s="3"/>
      <c r="R9" s="3"/>
    </row>
    <row r="10" spans="2:18" x14ac:dyDescent="0.25">
      <c r="B10" s="6" t="str">
        <f>'Open Spaces'!B2</f>
        <v>Allotments and Open Spaces</v>
      </c>
      <c r="C10" s="10">
        <f>'Open Spaces'!C15</f>
        <v>7200</v>
      </c>
      <c r="D10" s="10">
        <f>'Open Spaces'!D15</f>
        <v>4274.6971736204578</v>
      </c>
      <c r="E10" s="10">
        <f>'Open Spaces'!E15</f>
        <v>3138.4925975773895</v>
      </c>
      <c r="F10" s="10">
        <f>'Open Spaces'!F15</f>
        <v>1136.2045760430685</v>
      </c>
      <c r="G10" s="10">
        <f>'Open Spaces'!G15</f>
        <v>2925.3028263795422</v>
      </c>
      <c r="H10" s="10">
        <f>'Open Spaces'!H15</f>
        <v>0</v>
      </c>
      <c r="I10" s="10">
        <f>'Open Spaces'!I15</f>
        <v>447.69851951547776</v>
      </c>
      <c r="J10" s="10">
        <f>'Open Spaces'!J15</f>
        <v>7200</v>
      </c>
      <c r="K10" s="10">
        <f>'Open Spaces'!K15</f>
        <v>7420.5</v>
      </c>
      <c r="L10" s="10">
        <f>'Open Spaces'!L15</f>
        <v>7616.1149999999998</v>
      </c>
      <c r="M10" s="10">
        <f>'Open Spaces'!M15</f>
        <v>7817.5984500000004</v>
      </c>
      <c r="N10" s="3"/>
      <c r="O10" s="3"/>
      <c r="P10" s="3"/>
      <c r="Q10" s="3"/>
      <c r="R10" s="3"/>
    </row>
    <row r="11" spans="2:18" x14ac:dyDescent="0.25">
      <c r="B11" s="6" t="str">
        <f>'Sparrows Nest'!B2</f>
        <v>Sparrows Nest Park &amp; Sports Ground</v>
      </c>
      <c r="C11" s="10">
        <f>'Sparrows Nest'!C17</f>
        <v>131500</v>
      </c>
      <c r="D11" s="10">
        <f>'Sparrows Nest'!D17</f>
        <v>50253.562584118445</v>
      </c>
      <c r="E11" s="10">
        <f>'Sparrows Nest'!E17</f>
        <v>45503.802153432036</v>
      </c>
      <c r="F11" s="10">
        <f>'Sparrows Nest'!F17</f>
        <v>22969.376850605651</v>
      </c>
      <c r="G11" s="10">
        <f>'Sparrows Nest'!G17</f>
        <v>18530.820995962316</v>
      </c>
      <c r="H11" s="10">
        <f>'Sparrows Nest'!H17</f>
        <v>18219.616419919243</v>
      </c>
      <c r="I11" s="10">
        <f>'Sparrows Nest'!I17</f>
        <v>8605.7604306864068</v>
      </c>
      <c r="J11" s="10">
        <f>'Sparrows Nest'!J17</f>
        <v>129745</v>
      </c>
      <c r="K11" s="10">
        <f>'Sparrows Nest'!K17</f>
        <v>132947.6</v>
      </c>
      <c r="L11" s="10">
        <f>'Sparrows Nest'!L17</f>
        <v>135802.628</v>
      </c>
      <c r="M11" s="10">
        <f>'Sparrows Nest'!M17</f>
        <v>138752.40684000001</v>
      </c>
      <c r="N11" s="3"/>
      <c r="O11" s="3"/>
      <c r="P11" s="3"/>
      <c r="Q11" s="3"/>
      <c r="R11" s="3"/>
    </row>
    <row r="12" spans="2:18" x14ac:dyDescent="0.25">
      <c r="B12" s="6" t="str">
        <f>'Belle Vue'!B2</f>
        <v xml:space="preserve">Belle Vue Park </v>
      </c>
      <c r="C12" s="10">
        <f>'Belle Vue'!C11</f>
        <v>16100</v>
      </c>
      <c r="D12" s="10">
        <f>'Belle Vue'!D11</f>
        <v>8570.5989232839838</v>
      </c>
      <c r="E12" s="10">
        <f>'Belle Vue'!E11</f>
        <v>5685</v>
      </c>
      <c r="F12" s="10">
        <f>'Belle Vue'!F11</f>
        <v>2885.5989232839838</v>
      </c>
      <c r="G12" s="10">
        <f>'Belle Vue'!G11</f>
        <v>7429.4010767160162</v>
      </c>
      <c r="H12" s="10">
        <f>'Belle Vue'!H11</f>
        <v>0</v>
      </c>
      <c r="I12" s="10">
        <f>'Belle Vue'!I11</f>
        <v>1137.0121130551818</v>
      </c>
      <c r="J12" s="10">
        <f>'Belle Vue'!J11</f>
        <v>16100</v>
      </c>
      <c r="K12" s="10">
        <f>'Belle Vue'!K11</f>
        <v>16663</v>
      </c>
      <c r="L12" s="10">
        <f>'Belle Vue'!L11</f>
        <v>17162.89</v>
      </c>
      <c r="M12" s="10">
        <f>'Belle Vue'!M11</f>
        <v>17677.776700000002</v>
      </c>
      <c r="N12" s="3"/>
      <c r="O12" s="3"/>
      <c r="P12" s="3"/>
      <c r="Q12" s="3"/>
      <c r="R12" s="3"/>
    </row>
    <row r="13" spans="2:18" x14ac:dyDescent="0.25">
      <c r="B13" s="6" t="str">
        <f>'Kensington Gdns'!B2</f>
        <v xml:space="preserve">Kensington Gardens Park, Lake, &amp; Sports Ground </v>
      </c>
      <c r="C13" s="10">
        <f>'Kensington Gdns'!C14</f>
        <v>94900</v>
      </c>
      <c r="D13" s="10">
        <f>'Kensington Gdns'!D14</f>
        <v>49273.109017496638</v>
      </c>
      <c r="E13" s="10">
        <f>'Kensington Gdns'!E14</f>
        <v>32024</v>
      </c>
      <c r="F13" s="10">
        <f>'Kensington Gdns'!F14</f>
        <v>17254.109017496638</v>
      </c>
      <c r="G13" s="10">
        <f>'Kensington Gdns'!G14</f>
        <v>41278.890982503362</v>
      </c>
      <c r="H13" s="10">
        <f>'Kensington Gdns'!H14</f>
        <v>5</v>
      </c>
      <c r="I13" s="10">
        <f>'Kensington Gdns'!I14</f>
        <v>6317.5235531628532</v>
      </c>
      <c r="J13" s="10">
        <f>'Kensington Gdns'!J14</f>
        <v>94905</v>
      </c>
      <c r="K13" s="10">
        <f>'Kensington Gdns'!K14</f>
        <v>98196.65</v>
      </c>
      <c r="L13" s="10">
        <f>'Kensington Gdns'!L14</f>
        <v>101142.54949999999</v>
      </c>
      <c r="M13" s="10">
        <f>'Kensington Gdns'!M14</f>
        <v>104176.825985</v>
      </c>
      <c r="N13" s="3"/>
      <c r="O13" s="3"/>
      <c r="P13" s="3"/>
      <c r="Q13" s="3"/>
      <c r="R13" s="3"/>
    </row>
    <row r="14" spans="2:18" x14ac:dyDescent="0.25">
      <c r="B14" s="6" t="str">
        <f>'Play Areas'!B2</f>
        <v>Play Areas</v>
      </c>
      <c r="C14" s="10">
        <f>'Play Areas'!C29</f>
        <v>39300</v>
      </c>
      <c r="D14" s="10">
        <f>'Play Areas'!D29</f>
        <v>18505.518169582767</v>
      </c>
      <c r="E14" s="10">
        <f>'Play Areas'!E29</f>
        <v>12009.690444145352</v>
      </c>
      <c r="F14" s="10">
        <f>'Play Areas'!F29</f>
        <v>6095.8277254374179</v>
      </c>
      <c r="G14" s="10">
        <f>'Play Areas'!G29</f>
        <v>0</v>
      </c>
      <c r="H14" s="10">
        <f>'Play Areas'!H29</f>
        <v>-400</v>
      </c>
      <c r="I14" s="10">
        <f>'Play Areas'!I29</f>
        <v>0</v>
      </c>
      <c r="J14" s="10">
        <f>'Play Areas'!J29</f>
        <v>38000</v>
      </c>
      <c r="K14" s="10">
        <f>'Play Areas'!K29</f>
        <v>89309</v>
      </c>
      <c r="L14" s="10">
        <f>'Play Areas'!L29</f>
        <v>90488.27</v>
      </c>
      <c r="M14" s="10">
        <f>'Play Areas'!M29</f>
        <v>91702.91810000001</v>
      </c>
      <c r="N14" s="3"/>
      <c r="O14" s="3"/>
      <c r="P14" s="3"/>
      <c r="Q14" s="3"/>
      <c r="R14" s="3"/>
    </row>
    <row r="15" spans="2:18" x14ac:dyDescent="0.25">
      <c r="B15" s="6" t="str">
        <f>'Denes Oval'!B2</f>
        <v>Denes Oval</v>
      </c>
      <c r="C15" s="10">
        <f>'Denes Oval'!C14</f>
        <v>85900</v>
      </c>
      <c r="D15" s="10">
        <f>'Denes Oval'!D14</f>
        <v>45807.009421265146</v>
      </c>
      <c r="E15" s="10">
        <f>'Denes Oval'!E14</f>
        <v>30633</v>
      </c>
      <c r="F15" s="10">
        <f>'Denes Oval'!F14</f>
        <v>15234.009421265142</v>
      </c>
      <c r="G15" s="10">
        <f>'Denes Oval'!G14</f>
        <v>38492.990578734854</v>
      </c>
      <c r="H15" s="10">
        <f>'Denes Oval'!H14</f>
        <v>60</v>
      </c>
      <c r="I15" s="10">
        <f>'Denes Oval'!I14</f>
        <v>5891.1440107671588</v>
      </c>
      <c r="J15" s="10">
        <f>'Denes Oval'!J14</f>
        <v>85995</v>
      </c>
      <c r="K15" s="10">
        <f>'Denes Oval'!K14</f>
        <v>88989.35</v>
      </c>
      <c r="L15" s="10">
        <f>'Denes Oval'!L14</f>
        <v>91659.030499999993</v>
      </c>
      <c r="M15" s="10">
        <f>'Denes Oval'!M14</f>
        <v>94408.801415000009</v>
      </c>
      <c r="N15" s="3"/>
      <c r="O15" s="3"/>
      <c r="P15" s="3"/>
      <c r="Q15" s="3"/>
      <c r="R15" s="3"/>
    </row>
    <row r="16" spans="2:18" x14ac:dyDescent="0.25">
      <c r="B16" s="6" t="str">
        <f>'Normanston Park'!B2</f>
        <v>Normanston Park</v>
      </c>
      <c r="C16" s="10">
        <f>'Normanston Park'!C12</f>
        <v>96700</v>
      </c>
      <c r="D16" s="10">
        <f>'Normanston Park'!D12</f>
        <v>51035.948855989234</v>
      </c>
      <c r="E16" s="10">
        <f>'Normanston Park'!E12</f>
        <v>32890</v>
      </c>
      <c r="F16" s="10">
        <f>'Normanston Park'!F12</f>
        <v>16658.948855989234</v>
      </c>
      <c r="G16" s="10">
        <f>'Normanston Park'!G12</f>
        <v>42394.051144010766</v>
      </c>
      <c r="H16" s="10">
        <f>'Normanston Park'!H12</f>
        <v>-1487</v>
      </c>
      <c r="I16" s="10">
        <f>'Normanston Park'!I12</f>
        <v>6488.0753701211306</v>
      </c>
      <c r="J16" s="10">
        <f>'Normanston Park'!J12</f>
        <v>96200</v>
      </c>
      <c r="K16" s="10">
        <f>'Normanston Park'!K12</f>
        <v>99542.499999999985</v>
      </c>
      <c r="L16" s="10">
        <f>'Normanston Park'!L12</f>
        <v>102528.77499999999</v>
      </c>
      <c r="M16" s="10">
        <f>'Normanston Park'!M12</f>
        <v>105604.63824999999</v>
      </c>
      <c r="N16" s="3"/>
      <c r="O16" s="3"/>
      <c r="P16" s="3"/>
      <c r="Q16" s="3"/>
      <c r="R16" s="3"/>
    </row>
    <row r="17" spans="2:18" x14ac:dyDescent="0.25">
      <c r="B17" s="18" t="str">
        <f>'Pakefield St PC'!B2</f>
        <v>Pakefield Street Public Convenience</v>
      </c>
      <c r="C17" s="10">
        <f>'Pakefield St PC'!C12</f>
        <v>7800</v>
      </c>
      <c r="D17" s="10">
        <f>'Pakefield St PC'!D12</f>
        <v>4507.029609690444</v>
      </c>
      <c r="E17" s="10">
        <f>'Pakefield St PC'!E12</f>
        <v>3464</v>
      </c>
      <c r="F17" s="10">
        <f>'Pakefield St PC'!F12</f>
        <v>1207.029609690444</v>
      </c>
      <c r="G17" s="10">
        <f>'Pakefield St PC'!G12</f>
        <v>2692.970390309556</v>
      </c>
      <c r="H17" s="10">
        <f>'Pakefield St PC'!H12</f>
        <v>164</v>
      </c>
      <c r="I17" s="10">
        <f>'Pakefield St PC'!I12</f>
        <v>412.16689098250333</v>
      </c>
      <c r="J17" s="10">
        <f>'Pakefield St PC'!J12</f>
        <v>7942</v>
      </c>
      <c r="K17" s="10">
        <f>'Pakefield St PC'!K12</f>
        <v>8303</v>
      </c>
      <c r="L17" s="10">
        <f>'Pakefield St PC'!L12</f>
        <v>8553.99</v>
      </c>
      <c r="M17" s="10">
        <f>'Pakefield St PC'!M12</f>
        <v>8811.309699999998</v>
      </c>
      <c r="N17" s="10">
        <f>'Pakefield St PC'!N12</f>
        <v>0</v>
      </c>
      <c r="O17" s="10">
        <f>'Pakefield St PC'!O12</f>
        <v>0</v>
      </c>
      <c r="P17" s="10">
        <f>'Pakefield St PC'!P12</f>
        <v>0</v>
      </c>
      <c r="Q17" s="3"/>
      <c r="R17" s="3"/>
    </row>
    <row r="18" spans="2:18" x14ac:dyDescent="0.25">
      <c r="B18" s="6" t="str">
        <f>'The Triangle PC'!B2</f>
        <v>The Triangle Public Convenience</v>
      </c>
      <c r="C18" s="10">
        <f>'The Triangle PC'!C11</f>
        <v>9500</v>
      </c>
      <c r="D18" s="10">
        <f>'The Triangle PC'!D11</f>
        <v>5235.3095558546429</v>
      </c>
      <c r="E18" s="10">
        <f>'The Triangle PC'!E11</f>
        <v>3440</v>
      </c>
      <c r="F18" s="10">
        <f>'The Triangle PC'!F11</f>
        <v>1190.3095558546433</v>
      </c>
      <c r="G18" s="10">
        <f>'The Triangle PC'!G11</f>
        <v>3064.6904441453571</v>
      </c>
      <c r="H18" s="10">
        <f>'The Triangle PC'!H11</f>
        <v>-605</v>
      </c>
      <c r="I18" s="10">
        <f>'The Triangle PC'!I11</f>
        <v>469.01749663526238</v>
      </c>
      <c r="J18" s="10">
        <f>'The Triangle PC'!J11</f>
        <v>9495</v>
      </c>
      <c r="K18" s="10">
        <f>'The Triangle PC'!K11</f>
        <v>9975</v>
      </c>
      <c r="L18" s="10">
        <f>'The Triangle PC'!L11</f>
        <v>10265.549999999999</v>
      </c>
      <c r="M18" s="10">
        <f>'The Triangle PC'!M11</f>
        <v>10573.916499999999</v>
      </c>
      <c r="N18" s="3"/>
      <c r="O18" s="3"/>
      <c r="P18" s="3"/>
      <c r="Q18" s="3"/>
      <c r="R18" s="3"/>
    </row>
    <row r="19" spans="2:18" x14ac:dyDescent="0.25">
      <c r="B19" s="6" t="str">
        <f>'Kn Gdns PC'!B2</f>
        <v>Kensington Gardens Public Convenience</v>
      </c>
      <c r="C19" s="10">
        <f>'Kn Gdns PC'!C13</f>
        <v>21800</v>
      </c>
      <c r="D19" s="10">
        <f>'Kn Gdns PC'!D13</f>
        <v>12542.578734858682</v>
      </c>
      <c r="E19" s="10">
        <f>'Kn Gdns PC'!E13</f>
        <v>8709</v>
      </c>
      <c r="F19" s="10">
        <f>'Kn Gdns PC'!F13</f>
        <v>3458.5787348586809</v>
      </c>
      <c r="G19" s="10">
        <f>'Kn Gdns PC'!G13</f>
        <v>8729.4212651413181</v>
      </c>
      <c r="H19" s="10">
        <f>'Kn Gdns PC'!H13</f>
        <v>-375</v>
      </c>
      <c r="I19" s="10">
        <f>'Kn Gdns PC'!I13</f>
        <v>1335.9892328398385</v>
      </c>
      <c r="J19" s="10">
        <f>'Kn Gdns PC'!J13</f>
        <v>22117</v>
      </c>
      <c r="K19" s="10">
        <f>'Kn Gdns PC'!K13</f>
        <v>23118.799999999999</v>
      </c>
      <c r="L19" s="10">
        <f>'Kn Gdns PC'!L13</f>
        <v>23814.564000000002</v>
      </c>
      <c r="M19" s="10">
        <f>'Kn Gdns PC'!M13</f>
        <v>24529.100920000001</v>
      </c>
      <c r="N19" s="3"/>
      <c r="O19" s="3"/>
      <c r="P19" s="3"/>
      <c r="Q19" s="3"/>
      <c r="R19" s="3"/>
    </row>
    <row r="20" spans="2:18" x14ac:dyDescent="0.25">
      <c r="B20" s="6" t="str">
        <f>'Kirkley Cliff Rd PC'!B2</f>
        <v>Kirkley Cliff Road Public Convenience</v>
      </c>
      <c r="C20" s="10">
        <f>'Kirkley Cliff Rd PC'!C12</f>
        <v>6200</v>
      </c>
      <c r="D20" s="10">
        <f>'Kirkley Cliff Rd PC'!D12</f>
        <v>3321.1695827725434</v>
      </c>
      <c r="E20" s="10">
        <f>'Kirkley Cliff Rd PC'!E12</f>
        <v>2203</v>
      </c>
      <c r="F20" s="10">
        <f>'Kirkley Cliff Rd PC'!F12</f>
        <v>1118.1695827725437</v>
      </c>
      <c r="G20" s="10">
        <f>'Kirkley Cliff Rd PC'!G12</f>
        <v>2878.8304172274566</v>
      </c>
      <c r="H20" s="10">
        <f>'Kirkley Cliff Rd PC'!H12</f>
        <v>0</v>
      </c>
      <c r="I20" s="10">
        <f>'Kirkley Cliff Rd PC'!I12</f>
        <v>440.592193808883</v>
      </c>
      <c r="J20" s="10">
        <f>'Kirkley Cliff Rd PC'!J12</f>
        <v>6200</v>
      </c>
      <c r="K20" s="10">
        <f>'Kirkley Cliff Rd PC'!K12</f>
        <v>6416.9999999999991</v>
      </c>
      <c r="L20" s="10">
        <f>'Kirkley Cliff Rd PC'!L12</f>
        <v>6609.5099999999993</v>
      </c>
      <c r="M20" s="10">
        <f>'Kirkley Cliff Rd PC'!M12</f>
        <v>6807.7952999999998</v>
      </c>
      <c r="N20" s="3"/>
      <c r="O20" s="3"/>
      <c r="P20" s="3"/>
      <c r="Q20" s="3"/>
      <c r="R20" s="3"/>
    </row>
    <row r="21" spans="2:18" x14ac:dyDescent="0.25">
      <c r="B21" s="6" t="str">
        <f>'Low Cemetery PC'!B2</f>
        <v>Lowestoft Cemetery Public Convenience</v>
      </c>
      <c r="C21" s="10">
        <f>'Low Cemetery PC'!C12</f>
        <v>6500</v>
      </c>
      <c r="D21" s="10">
        <f>'Low Cemetery PC'!D12</f>
        <v>3417.029609690444</v>
      </c>
      <c r="E21" s="10">
        <f>'Low Cemetery PC'!E12</f>
        <v>2187</v>
      </c>
      <c r="F21" s="10">
        <f>'Low Cemetery PC'!F12</f>
        <v>1130.029609690444</v>
      </c>
      <c r="G21" s="10">
        <f>'Low Cemetery PC'!G12</f>
        <v>2692.970390309556</v>
      </c>
      <c r="H21" s="10">
        <f>'Low Cemetery PC'!H12</f>
        <v>-100</v>
      </c>
      <c r="I21" s="10">
        <f>'Low Cemetery PC'!I12</f>
        <v>412.16689098250333</v>
      </c>
      <c r="J21" s="10">
        <f>'Low Cemetery PC'!J12</f>
        <v>6480</v>
      </c>
      <c r="K21" s="10">
        <f>'Low Cemetery PC'!K12</f>
        <v>6703.4</v>
      </c>
      <c r="L21" s="10">
        <f>'Low Cemetery PC'!L12</f>
        <v>6904.5019999999995</v>
      </c>
      <c r="M21" s="10">
        <f>'Low Cemetery PC'!M12</f>
        <v>7111.6370599999991</v>
      </c>
      <c r="N21" s="3"/>
      <c r="O21" s="3"/>
      <c r="P21" s="3"/>
      <c r="Q21" s="3"/>
      <c r="R21" s="3"/>
    </row>
    <row r="22" spans="2:18" x14ac:dyDescent="0.25">
      <c r="B22" s="6" t="str">
        <f>Miscellaneous!B2</f>
        <v>Miscellaneous &amp; Reserve Contributions</v>
      </c>
      <c r="C22" s="10">
        <f>Miscellaneous!C15</f>
        <v>28600</v>
      </c>
      <c r="D22" s="10">
        <f>Miscellaneous!D15</f>
        <v>2999.7308209959624</v>
      </c>
      <c r="E22" s="10">
        <f>Miscellaneous!E15</f>
        <v>1989.7711978465679</v>
      </c>
      <c r="F22" s="10">
        <f>Miscellaneous!F15</f>
        <v>1009.9596231493944</v>
      </c>
      <c r="G22" s="10">
        <f>Miscellaneous!G15</f>
        <v>2600.2691790040376</v>
      </c>
      <c r="H22" s="10">
        <f>Miscellaneous!H15</f>
        <v>0</v>
      </c>
      <c r="I22" s="10">
        <f>Miscellaneous!I15</f>
        <v>397.95423956931359</v>
      </c>
      <c r="J22" s="10">
        <f>Miscellaneous!J15</f>
        <v>28600</v>
      </c>
      <c r="K22" s="10">
        <f>Miscellaneous!K15</f>
        <v>28768</v>
      </c>
      <c r="L22" s="10">
        <f>Miscellaneous!L15</f>
        <v>28941.040000000001</v>
      </c>
      <c r="M22" s="10">
        <f>Miscellaneous!M15</f>
        <v>29119.271199999999</v>
      </c>
      <c r="N22" s="3"/>
      <c r="O22" s="3"/>
      <c r="P22" s="3"/>
      <c r="Q22" s="3"/>
      <c r="R22" s="3"/>
    </row>
    <row r="23" spans="2:18" x14ac:dyDescent="0.25">
      <c r="B23" s="6" t="str">
        <f>'Town Hall'!B2</f>
        <v>Town Hall</v>
      </c>
      <c r="C23" s="10">
        <f>'Town Hall'!C23</f>
        <v>86120</v>
      </c>
      <c r="D23" s="10">
        <f>'Town Hall'!D23</f>
        <v>16430</v>
      </c>
      <c r="E23" s="10">
        <f>'Town Hall'!E23</f>
        <v>2519</v>
      </c>
      <c r="F23" s="10">
        <f>'Town Hall'!F23</f>
        <v>2324</v>
      </c>
      <c r="G23" s="10">
        <f>'Town Hall'!G23</f>
        <v>0</v>
      </c>
      <c r="H23" s="10">
        <f>'Town Hall'!H23</f>
        <v>-11587</v>
      </c>
      <c r="I23" s="10">
        <f>'Town Hall'!I23</f>
        <v>0</v>
      </c>
      <c r="J23" s="10">
        <f>'Town Hall'!J23</f>
        <v>18330</v>
      </c>
      <c r="K23" s="10">
        <f>'Town Hall'!K23</f>
        <v>64775.9</v>
      </c>
      <c r="L23" s="10">
        <f>'Town Hall'!L23</f>
        <v>66719.176999999996</v>
      </c>
      <c r="M23" s="10">
        <f>'Town Hall'!M23</f>
        <v>68720.752309999996</v>
      </c>
      <c r="N23" s="3"/>
      <c r="O23" s="3"/>
      <c r="P23" s="3"/>
      <c r="Q23" s="3"/>
      <c r="R23" s="3"/>
    </row>
    <row r="24" spans="2:18" x14ac:dyDescent="0.25">
      <c r="B24" s="6" t="str">
        <f>Administration!B2</f>
        <v>Administration</v>
      </c>
      <c r="C24" s="10">
        <f>Administration!C47</f>
        <v>455260</v>
      </c>
      <c r="D24" s="10">
        <f>Administration!D47</f>
        <v>199960</v>
      </c>
      <c r="E24" s="10">
        <f>Administration!E47</f>
        <v>49442</v>
      </c>
      <c r="F24" s="10">
        <f>Administration!F47</f>
        <v>0</v>
      </c>
      <c r="G24" s="10">
        <f>Administration!G47</f>
        <v>0</v>
      </c>
      <c r="H24" s="10">
        <f>Administration!H47</f>
        <v>-150518</v>
      </c>
      <c r="I24" s="10">
        <f>Administration!I47</f>
        <v>4595</v>
      </c>
      <c r="J24" s="10">
        <f>Administration!J47</f>
        <v>220497.5</v>
      </c>
      <c r="K24" s="10">
        <f>Administration!K47</f>
        <v>463681.8</v>
      </c>
      <c r="L24" s="10">
        <f>Administration!L47</f>
        <v>464510.75400000002</v>
      </c>
      <c r="M24" s="10">
        <f>Administration!M47</f>
        <v>465364.57662000001</v>
      </c>
      <c r="N24" s="3"/>
      <c r="O24" s="3"/>
      <c r="P24" s="3"/>
      <c r="Q24" s="3"/>
      <c r="R24" s="3"/>
    </row>
    <row r="25" spans="2:18" x14ac:dyDescent="0.25">
      <c r="B25" s="6"/>
      <c r="C25" s="13"/>
      <c r="D25" s="10"/>
      <c r="E25" s="10"/>
      <c r="F25" s="10"/>
      <c r="G25" s="10"/>
      <c r="H25" s="13"/>
      <c r="I25" s="13"/>
      <c r="J25" s="13"/>
      <c r="K25" s="13"/>
      <c r="L25" s="13"/>
      <c r="M25" s="13"/>
      <c r="N25" s="3"/>
      <c r="O25" s="3"/>
      <c r="P25" s="3"/>
      <c r="Q25" s="3"/>
      <c r="R25" s="3"/>
    </row>
    <row r="26" spans="2:18" x14ac:dyDescent="0.25">
      <c r="B26" s="6" t="s">
        <v>70</v>
      </c>
      <c r="C26" s="10">
        <f>SUM(C4:C25)</f>
        <v>1550580</v>
      </c>
      <c r="D26" s="10">
        <f t="shared" ref="D26:M26" si="0">SUM(D4:D25)</f>
        <v>768972.13997308211</v>
      </c>
      <c r="E26" s="10">
        <f t="shared" si="0"/>
        <v>326731.75639300136</v>
      </c>
      <c r="F26" s="10">
        <f t="shared" si="0"/>
        <v>289582.99999999994</v>
      </c>
      <c r="G26" s="10">
        <f t="shared" si="0"/>
        <v>291604.76177658141</v>
      </c>
      <c r="H26" s="10">
        <f t="shared" si="0"/>
        <v>-152657.38358008076</v>
      </c>
      <c r="I26" s="10">
        <f t="shared" si="0"/>
        <v>54993.061911170924</v>
      </c>
      <c r="J26" s="10">
        <f>SUM(J4:J25)</f>
        <v>1204301.5</v>
      </c>
      <c r="K26" s="10">
        <f t="shared" si="0"/>
        <v>1575212.85</v>
      </c>
      <c r="L26" s="10">
        <f t="shared" si="0"/>
        <v>1601127.7355</v>
      </c>
      <c r="M26" s="10">
        <f t="shared" si="0"/>
        <v>1627834.9675650003</v>
      </c>
      <c r="N26" s="3"/>
      <c r="O26" s="3"/>
      <c r="P26" s="3"/>
      <c r="Q26" s="3"/>
      <c r="R26" s="3"/>
    </row>
    <row r="27" spans="2:18" x14ac:dyDescent="0.25">
      <c r="B27" s="5"/>
      <c r="C27" s="5"/>
      <c r="D27" s="39"/>
      <c r="E27" s="5"/>
      <c r="F27" s="5"/>
      <c r="G27" s="5"/>
      <c r="H27" s="5"/>
      <c r="I27" s="5"/>
      <c r="J27" s="5"/>
      <c r="K27" s="5"/>
      <c r="L27" s="5"/>
      <c r="M27" s="5"/>
    </row>
    <row r="28" spans="2:18" x14ac:dyDescent="0.25">
      <c r="B28" s="6" t="s">
        <v>158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8" x14ac:dyDescent="0.25">
      <c r="B29" s="6" t="s">
        <v>74</v>
      </c>
      <c r="C29" s="34">
        <f>Museum!C12</f>
        <v>0</v>
      </c>
      <c r="D29" s="34">
        <f>Museum!D12</f>
        <v>0</v>
      </c>
      <c r="E29" s="34">
        <f>Museum!E12</f>
        <v>0</v>
      </c>
      <c r="F29" s="34">
        <f>Museum!F12</f>
        <v>0</v>
      </c>
      <c r="G29" s="34">
        <f>Museum!G12</f>
        <v>0</v>
      </c>
      <c r="H29" s="34">
        <f>Museum!H12</f>
        <v>0</v>
      </c>
      <c r="I29" s="34">
        <f>Museum!I12</f>
        <v>0</v>
      </c>
      <c r="J29" s="34">
        <f>Museum!J12</f>
        <v>0</v>
      </c>
      <c r="K29" s="34">
        <f>Museum!K12</f>
        <v>0</v>
      </c>
      <c r="L29" s="34">
        <f>Museum!L12</f>
        <v>0</v>
      </c>
      <c r="M29" s="34">
        <f>Museum!M12</f>
        <v>0</v>
      </c>
    </row>
    <row r="30" spans="2:18" x14ac:dyDescent="0.25">
      <c r="B30" s="6" t="s">
        <v>57</v>
      </c>
      <c r="C30" s="34">
        <f>'Caravan Site'!C11</f>
        <v>-80000</v>
      </c>
      <c r="D30" s="34">
        <f>'Caravan Site'!D11</f>
        <v>0</v>
      </c>
      <c r="E30" s="34">
        <f>'Caravan Site'!E11</f>
        <v>0</v>
      </c>
      <c r="F30" s="34">
        <f>'Caravan Site'!F11</f>
        <v>0</v>
      </c>
      <c r="G30" s="34">
        <f>'Caravan Site'!G11</f>
        <v>0</v>
      </c>
      <c r="H30" s="34">
        <f>'Caravan Site'!H11</f>
        <v>0</v>
      </c>
      <c r="I30" s="34">
        <f>'Caravan Site'!I11</f>
        <v>0</v>
      </c>
      <c r="J30" s="34">
        <f>'Caravan Site'!J11</f>
        <v>-80000</v>
      </c>
      <c r="K30" s="34">
        <f>'Caravan Site'!K11</f>
        <v>-80000</v>
      </c>
      <c r="L30" s="34">
        <f>'Caravan Site'!L11</f>
        <v>-80000</v>
      </c>
      <c r="M30" s="34">
        <f>'Caravan Site'!M11</f>
        <v>-80000</v>
      </c>
    </row>
    <row r="31" spans="2:18" x14ac:dyDescent="0.25">
      <c r="B31" s="6" t="s">
        <v>34</v>
      </c>
      <c r="C31" s="34">
        <f>CCTV!C15</f>
        <v>0</v>
      </c>
      <c r="D31" s="34">
        <f>CCTV!D15</f>
        <v>0</v>
      </c>
      <c r="E31" s="34">
        <f>CCTV!E15</f>
        <v>0</v>
      </c>
      <c r="F31" s="34">
        <f>CCTV!F15</f>
        <v>0</v>
      </c>
      <c r="G31" s="34">
        <f>CCTV!G15</f>
        <v>0</v>
      </c>
      <c r="H31" s="34">
        <f>CCTV!H15</f>
        <v>0</v>
      </c>
      <c r="I31" s="34">
        <f>CCTV!I15</f>
        <v>0</v>
      </c>
      <c r="J31" s="34">
        <f>CCTV!J15</f>
        <v>0</v>
      </c>
      <c r="K31" s="34">
        <f>CCTV!K15</f>
        <v>0</v>
      </c>
      <c r="L31" s="34">
        <f>CCTV!L15</f>
        <v>0</v>
      </c>
      <c r="M31" s="34">
        <f>CCTV!M15</f>
        <v>0</v>
      </c>
    </row>
    <row r="32" spans="2:18" x14ac:dyDescent="0.25">
      <c r="B32" s="6" t="s">
        <v>6</v>
      </c>
      <c r="C32" s="34">
        <f>Events!C14</f>
        <v>-5300</v>
      </c>
      <c r="D32" s="34">
        <f>Events!D14</f>
        <v>0</v>
      </c>
      <c r="E32" s="34">
        <f>Events!E14</f>
        <v>0</v>
      </c>
      <c r="F32" s="34">
        <f>Events!F14</f>
        <v>0</v>
      </c>
      <c r="G32" s="34">
        <f>Events!G14</f>
        <v>0</v>
      </c>
      <c r="H32" s="34">
        <f>Events!H14</f>
        <v>0</v>
      </c>
      <c r="I32" s="34">
        <f>Events!I14</f>
        <v>0</v>
      </c>
      <c r="J32" s="34">
        <f>Events!J14</f>
        <v>-5300</v>
      </c>
      <c r="K32" s="34">
        <f>Events!K14</f>
        <v>-5300</v>
      </c>
      <c r="L32" s="34">
        <f>Events!L14</f>
        <v>-5300</v>
      </c>
      <c r="M32" s="34">
        <f>Events!M14</f>
        <v>-5300</v>
      </c>
    </row>
    <row r="33" spans="2:13" x14ac:dyDescent="0.25">
      <c r="B33" s="6" t="s">
        <v>8</v>
      </c>
      <c r="C33" s="34">
        <f>'Marina Theatre'!C15</f>
        <v>0</v>
      </c>
      <c r="D33" s="34">
        <f>'Marina Theatre'!D15</f>
        <v>0</v>
      </c>
      <c r="E33" s="34">
        <f>'Marina Theatre'!E15</f>
        <v>0</v>
      </c>
      <c r="F33" s="34">
        <f>'Marina Theatre'!F15</f>
        <v>0</v>
      </c>
      <c r="G33" s="34">
        <f>'Marina Theatre'!G15</f>
        <v>0</v>
      </c>
      <c r="H33" s="34">
        <f>'Marina Theatre'!H15</f>
        <v>0</v>
      </c>
      <c r="I33" s="34">
        <f>'Marina Theatre'!I15</f>
        <v>0</v>
      </c>
      <c r="J33" s="34">
        <f>'Marina Theatre'!J15</f>
        <v>0</v>
      </c>
      <c r="K33" s="34">
        <f>'Marina Theatre'!K15</f>
        <v>0</v>
      </c>
      <c r="L33" s="34">
        <f>'Marina Theatre'!L15</f>
        <v>0</v>
      </c>
      <c r="M33" s="34">
        <f>'Marina Theatre'!M15</f>
        <v>0</v>
      </c>
    </row>
    <row r="34" spans="2:13" x14ac:dyDescent="0.25">
      <c r="B34" s="6" t="s">
        <v>108</v>
      </c>
      <c r="C34" s="34">
        <f>'Open Spaces'!C18</f>
        <v>0</v>
      </c>
      <c r="D34" s="34">
        <f>'Open Spaces'!D18</f>
        <v>0</v>
      </c>
      <c r="E34" s="34">
        <f>'Open Spaces'!E18</f>
        <v>0</v>
      </c>
      <c r="F34" s="34">
        <f>'Open Spaces'!F18</f>
        <v>0</v>
      </c>
      <c r="G34" s="34">
        <f>'Open Spaces'!G18</f>
        <v>0</v>
      </c>
      <c r="H34" s="34">
        <f>'Open Spaces'!H18</f>
        <v>0</v>
      </c>
      <c r="I34" s="34">
        <f>'Open Spaces'!I18</f>
        <v>0</v>
      </c>
      <c r="J34" s="34">
        <f>'Open Spaces'!J18</f>
        <v>-524.70000000000005</v>
      </c>
      <c r="K34" s="34">
        <f>'Open Spaces'!K18</f>
        <v>-524.70000000000005</v>
      </c>
      <c r="L34" s="34">
        <f>'Open Spaces'!L18</f>
        <v>-524.70000000000005</v>
      </c>
      <c r="M34" s="34">
        <f>'Open Spaces'!M18</f>
        <v>-524.70000000000005</v>
      </c>
    </row>
    <row r="35" spans="2:13" x14ac:dyDescent="0.25">
      <c r="B35" s="6" t="s">
        <v>91</v>
      </c>
      <c r="C35" s="34">
        <f>'Sparrows Nest'!C21</f>
        <v>-30800</v>
      </c>
      <c r="D35" s="34">
        <f>'Sparrows Nest'!D21</f>
        <v>-15650</v>
      </c>
      <c r="E35" s="34">
        <f>'Sparrows Nest'!E21</f>
        <v>-14701</v>
      </c>
      <c r="F35" s="34">
        <f>'Sparrows Nest'!F21</f>
        <v>-1299</v>
      </c>
      <c r="G35" s="34">
        <f>'Sparrows Nest'!G21</f>
        <v>0</v>
      </c>
      <c r="H35" s="34">
        <f>'Sparrows Nest'!H21</f>
        <v>-350</v>
      </c>
      <c r="I35" s="34">
        <f>'Sparrows Nest'!I21</f>
        <v>0</v>
      </c>
      <c r="J35" s="34">
        <f>'Sparrows Nest'!J21</f>
        <v>-30800</v>
      </c>
      <c r="K35" s="34">
        <f>'Sparrows Nest'!K21</f>
        <v>-30800</v>
      </c>
      <c r="L35" s="34">
        <f>'Sparrows Nest'!L21</f>
        <v>-30800</v>
      </c>
      <c r="M35" s="34">
        <f>'Sparrows Nest'!M21</f>
        <v>-30800</v>
      </c>
    </row>
    <row r="36" spans="2:13" x14ac:dyDescent="0.25">
      <c r="B36" s="6" t="s">
        <v>71</v>
      </c>
      <c r="C36" s="34">
        <f>'Belle Vue'!C15</f>
        <v>-1500</v>
      </c>
      <c r="D36" s="34">
        <f>'Belle Vue'!D15</f>
        <v>-350</v>
      </c>
      <c r="E36" s="34">
        <f>'Belle Vue'!E15</f>
        <v>-1241</v>
      </c>
      <c r="F36" s="34">
        <f>'Belle Vue'!F15</f>
        <v>0</v>
      </c>
      <c r="G36" s="34">
        <f>'Belle Vue'!G15</f>
        <v>0</v>
      </c>
      <c r="H36" s="34">
        <f>'Belle Vue'!H15</f>
        <v>-891</v>
      </c>
      <c r="I36" s="34">
        <f>'Belle Vue'!I15</f>
        <v>0</v>
      </c>
      <c r="J36" s="34">
        <f>'Belle Vue'!J15</f>
        <v>-4270</v>
      </c>
      <c r="K36" s="34">
        <f>'Belle Vue'!K15</f>
        <v>-4270</v>
      </c>
      <c r="L36" s="34">
        <f>'Belle Vue'!L15</f>
        <v>-4270</v>
      </c>
      <c r="M36" s="34">
        <f>'Belle Vue'!M15</f>
        <v>-4270</v>
      </c>
    </row>
    <row r="37" spans="2:13" x14ac:dyDescent="0.25">
      <c r="B37" s="6" t="s">
        <v>97</v>
      </c>
      <c r="C37" s="34">
        <f>'Kensington Gdns'!C18</f>
        <v>-11600</v>
      </c>
      <c r="D37" s="34">
        <f>'Kensington Gdns'!D18</f>
        <v>-5845</v>
      </c>
      <c r="E37" s="34">
        <f>'Kensington Gdns'!E18</f>
        <v>-5787</v>
      </c>
      <c r="F37" s="34">
        <f>'Kensington Gdns'!F18</f>
        <v>-3482</v>
      </c>
      <c r="G37" s="34">
        <f>'Kensington Gdns'!G18</f>
        <v>0</v>
      </c>
      <c r="H37" s="34">
        <f>'Kensington Gdns'!H18</f>
        <v>-3424</v>
      </c>
      <c r="I37" s="34">
        <f>'Kensington Gdns'!I18</f>
        <v>0</v>
      </c>
      <c r="J37" s="34">
        <f>'Kensington Gdns'!J18</f>
        <v>-11645</v>
      </c>
      <c r="K37" s="34">
        <f>'Kensington Gdns'!K18</f>
        <v>-11645</v>
      </c>
      <c r="L37" s="34">
        <f>'Kensington Gdns'!L18</f>
        <v>-11645</v>
      </c>
      <c r="M37" s="34">
        <f>'Kensington Gdns'!M18</f>
        <v>-11645</v>
      </c>
    </row>
    <row r="38" spans="2:13" x14ac:dyDescent="0.25">
      <c r="B38" s="6" t="s">
        <v>9</v>
      </c>
      <c r="C38" s="34">
        <f>'Play Areas'!C31</f>
        <v>0</v>
      </c>
      <c r="D38" s="34">
        <f>'Play Areas'!D31</f>
        <v>0</v>
      </c>
      <c r="E38" s="34">
        <f>'Play Areas'!E31</f>
        <v>0</v>
      </c>
      <c r="F38" s="34">
        <f>'Play Areas'!F31</f>
        <v>0</v>
      </c>
      <c r="G38" s="34">
        <f>'Play Areas'!G31</f>
        <v>0</v>
      </c>
      <c r="H38" s="34">
        <f>'Play Areas'!H31</f>
        <v>0</v>
      </c>
      <c r="I38" s="34">
        <f>'Play Areas'!I31</f>
        <v>0</v>
      </c>
      <c r="J38" s="34">
        <f>'Play Areas'!J31</f>
        <v>0</v>
      </c>
      <c r="K38" s="34">
        <f>'Play Areas'!K31</f>
        <v>0</v>
      </c>
      <c r="L38" s="34">
        <f>'Play Areas'!L31</f>
        <v>0</v>
      </c>
      <c r="M38" s="34">
        <f>'Play Areas'!M31</f>
        <v>0</v>
      </c>
    </row>
    <row r="39" spans="2:13" x14ac:dyDescent="0.25">
      <c r="B39" s="6" t="s">
        <v>10</v>
      </c>
      <c r="C39" s="34">
        <f>'Denes Oval'!C17</f>
        <v>-9900</v>
      </c>
      <c r="D39" s="34">
        <f>'Denes Oval'!D17</f>
        <v>-4950</v>
      </c>
      <c r="E39" s="34">
        <f>'Denes Oval'!E17</f>
        <v>-914</v>
      </c>
      <c r="F39" s="34">
        <f>'Denes Oval'!F17</f>
        <v>-954</v>
      </c>
      <c r="G39" s="34">
        <f>'Denes Oval'!G17</f>
        <v>0</v>
      </c>
      <c r="H39" s="34">
        <f>'Denes Oval'!H17</f>
        <v>3082</v>
      </c>
      <c r="I39" s="34">
        <f>'Denes Oval'!I17</f>
        <v>0</v>
      </c>
      <c r="J39" s="34">
        <f>'Denes Oval'!J17</f>
        <v>-9900</v>
      </c>
      <c r="K39" s="34">
        <f>'Denes Oval'!K17</f>
        <v>-9900</v>
      </c>
      <c r="L39" s="34">
        <f>'Denes Oval'!L17</f>
        <v>-9900</v>
      </c>
      <c r="M39" s="34">
        <f>'Denes Oval'!M17</f>
        <v>-9900</v>
      </c>
    </row>
    <row r="40" spans="2:13" x14ac:dyDescent="0.25">
      <c r="B40" s="6" t="s">
        <v>11</v>
      </c>
      <c r="C40" s="34">
        <f>'Normanston Park'!C16</f>
        <v>-9400</v>
      </c>
      <c r="D40" s="34">
        <f>'Normanston Park'!D16</f>
        <v>-5425</v>
      </c>
      <c r="E40" s="34">
        <f>'Normanston Park'!E16</f>
        <v>-6364</v>
      </c>
      <c r="F40" s="34">
        <f>'Normanston Park'!F16</f>
        <v>-1149</v>
      </c>
      <c r="G40" s="34">
        <f>'Normanston Park'!G16</f>
        <v>0</v>
      </c>
      <c r="H40" s="34">
        <f>'Normanston Park'!H16</f>
        <v>-2088</v>
      </c>
      <c r="I40" s="34">
        <f>'Normanston Park'!I16</f>
        <v>0</v>
      </c>
      <c r="J40" s="34">
        <f>'Normanston Park'!J16</f>
        <v>-10850</v>
      </c>
      <c r="K40" s="34">
        <f>'Normanston Park'!K16</f>
        <v>-10850</v>
      </c>
      <c r="L40" s="34">
        <f>'Normanston Park'!L16</f>
        <v>-10850</v>
      </c>
      <c r="M40" s="34">
        <f>'Normanston Park'!M16</f>
        <v>-10850</v>
      </c>
    </row>
    <row r="41" spans="2:13" x14ac:dyDescent="0.25">
      <c r="B41" s="6" t="s">
        <v>101</v>
      </c>
      <c r="C41" s="34">
        <f>'Pakefield St PC'!C14</f>
        <v>0</v>
      </c>
      <c r="D41" s="34">
        <f>'Pakefield St PC'!D14</f>
        <v>0</v>
      </c>
      <c r="E41" s="34">
        <f>'Pakefield St PC'!E14</f>
        <v>0</v>
      </c>
      <c r="F41" s="34">
        <f>'Pakefield St PC'!F14</f>
        <v>0</v>
      </c>
      <c r="G41" s="34">
        <f>'Pakefield St PC'!G14</f>
        <v>0</v>
      </c>
      <c r="H41" s="34">
        <f>'Pakefield St PC'!H14</f>
        <v>0</v>
      </c>
      <c r="I41" s="34">
        <f>'Pakefield St PC'!I14</f>
        <v>0</v>
      </c>
      <c r="J41" s="34">
        <f>'Pakefield St PC'!J14</f>
        <v>0</v>
      </c>
      <c r="K41" s="34">
        <f>'Pakefield St PC'!K14</f>
        <v>0</v>
      </c>
      <c r="L41" s="34">
        <f>'Pakefield St PC'!L14</f>
        <v>0</v>
      </c>
      <c r="M41" s="34">
        <f>'Pakefield St PC'!M14</f>
        <v>0</v>
      </c>
    </row>
    <row r="42" spans="2:13" x14ac:dyDescent="0.25">
      <c r="B42" s="6" t="s">
        <v>102</v>
      </c>
      <c r="C42" s="34">
        <f>'The Triangle PC'!C13</f>
        <v>0</v>
      </c>
      <c r="D42" s="34">
        <f>'The Triangle PC'!D13</f>
        <v>0</v>
      </c>
      <c r="E42" s="34">
        <f>'The Triangle PC'!E13</f>
        <v>0</v>
      </c>
      <c r="F42" s="34">
        <f>'The Triangle PC'!F13</f>
        <v>0</v>
      </c>
      <c r="G42" s="34">
        <f>'The Triangle PC'!G13</f>
        <v>0</v>
      </c>
      <c r="H42" s="34">
        <f>'The Triangle PC'!H13</f>
        <v>0</v>
      </c>
      <c r="I42" s="34">
        <f>'The Triangle PC'!I13</f>
        <v>0</v>
      </c>
      <c r="J42" s="34">
        <f>'The Triangle PC'!J13</f>
        <v>0</v>
      </c>
      <c r="K42" s="34">
        <f>'The Triangle PC'!K13</f>
        <v>0</v>
      </c>
      <c r="L42" s="34">
        <f>'The Triangle PC'!L13</f>
        <v>0</v>
      </c>
      <c r="M42" s="34">
        <f>'The Triangle PC'!M13</f>
        <v>0</v>
      </c>
    </row>
    <row r="43" spans="2:13" x14ac:dyDescent="0.25">
      <c r="B43" s="6" t="s">
        <v>103</v>
      </c>
      <c r="C43" s="34">
        <f>'Kn Gdns PC'!C15</f>
        <v>0</v>
      </c>
      <c r="D43" s="34">
        <f>'Kn Gdns PC'!D15</f>
        <v>0</v>
      </c>
      <c r="E43" s="34">
        <f>'Kn Gdns PC'!E15</f>
        <v>0</v>
      </c>
      <c r="F43" s="34">
        <f>'Kn Gdns PC'!F15</f>
        <v>0</v>
      </c>
      <c r="G43" s="34">
        <f>'Kn Gdns PC'!G15</f>
        <v>0</v>
      </c>
      <c r="H43" s="34">
        <f>'Kn Gdns PC'!H15</f>
        <v>0</v>
      </c>
      <c r="I43" s="34">
        <f>'Kn Gdns PC'!I15</f>
        <v>0</v>
      </c>
      <c r="J43" s="34">
        <f>'Kn Gdns PC'!J15</f>
        <v>0</v>
      </c>
      <c r="K43" s="34">
        <f>'Kn Gdns PC'!K15</f>
        <v>0</v>
      </c>
      <c r="L43" s="34">
        <f>'Kn Gdns PC'!L15</f>
        <v>0</v>
      </c>
      <c r="M43" s="34">
        <f>'Kn Gdns PC'!M15</f>
        <v>0</v>
      </c>
    </row>
    <row r="44" spans="2:13" x14ac:dyDescent="0.25">
      <c r="B44" s="6" t="s">
        <v>105</v>
      </c>
      <c r="C44" s="34">
        <f>'Kirkley Cliff Rd PC'!C14</f>
        <v>0</v>
      </c>
      <c r="D44" s="34">
        <f>'Kirkley Cliff Rd PC'!D14</f>
        <v>0</v>
      </c>
      <c r="E44" s="34">
        <f>'Kirkley Cliff Rd PC'!E14</f>
        <v>0</v>
      </c>
      <c r="F44" s="34">
        <f>'Kirkley Cliff Rd PC'!F14</f>
        <v>0</v>
      </c>
      <c r="G44" s="34">
        <f>'Kirkley Cliff Rd PC'!G14</f>
        <v>0</v>
      </c>
      <c r="H44" s="34">
        <f>'Kirkley Cliff Rd PC'!H14</f>
        <v>0</v>
      </c>
      <c r="I44" s="34">
        <f>'Kirkley Cliff Rd PC'!I14</f>
        <v>0</v>
      </c>
      <c r="J44" s="34">
        <f>'Kirkley Cliff Rd PC'!J14</f>
        <v>0</v>
      </c>
      <c r="K44" s="34">
        <f>'Kirkley Cliff Rd PC'!K14</f>
        <v>0</v>
      </c>
      <c r="L44" s="34">
        <f>'Kirkley Cliff Rd PC'!L14</f>
        <v>0</v>
      </c>
      <c r="M44" s="34">
        <f>'Kirkley Cliff Rd PC'!M14</f>
        <v>0</v>
      </c>
    </row>
    <row r="45" spans="2:13" x14ac:dyDescent="0.25">
      <c r="B45" s="6" t="s">
        <v>104</v>
      </c>
      <c r="C45" s="34">
        <f>'Low Cemetery PC'!C14</f>
        <v>0</v>
      </c>
      <c r="D45" s="34">
        <f>'Low Cemetery PC'!D14</f>
        <v>0</v>
      </c>
      <c r="E45" s="34">
        <f>'Low Cemetery PC'!E14</f>
        <v>0</v>
      </c>
      <c r="F45" s="34">
        <f>'Low Cemetery PC'!F14</f>
        <v>0</v>
      </c>
      <c r="G45" s="34">
        <f>'Low Cemetery PC'!G14</f>
        <v>0</v>
      </c>
      <c r="H45" s="34">
        <f>'Low Cemetery PC'!H14</f>
        <v>0</v>
      </c>
      <c r="I45" s="34">
        <f>'Low Cemetery PC'!I14</f>
        <v>0</v>
      </c>
      <c r="J45" s="34">
        <f>'Low Cemetery PC'!J14</f>
        <v>0</v>
      </c>
      <c r="K45" s="34">
        <f>'Low Cemetery PC'!K14</f>
        <v>0</v>
      </c>
      <c r="L45" s="34">
        <f>'Low Cemetery PC'!L14</f>
        <v>0</v>
      </c>
      <c r="M45" s="34">
        <f>'Low Cemetery PC'!M14</f>
        <v>0</v>
      </c>
    </row>
    <row r="46" spans="2:13" x14ac:dyDescent="0.25">
      <c r="B46" s="6" t="s">
        <v>33</v>
      </c>
      <c r="C46" s="34">
        <f>Miscellaneous!C20</f>
        <v>-9800</v>
      </c>
      <c r="D46" s="34">
        <f>Miscellaneous!D20</f>
        <v>-1250</v>
      </c>
      <c r="E46" s="34">
        <f>Miscellaneous!E20</f>
        <v>-1300</v>
      </c>
      <c r="F46" s="34">
        <f>Miscellaneous!F20</f>
        <v>0</v>
      </c>
      <c r="G46" s="34">
        <f>Miscellaneous!G20</f>
        <v>0</v>
      </c>
      <c r="H46" s="34">
        <f>Miscellaneous!H20</f>
        <v>-50</v>
      </c>
      <c r="I46" s="34">
        <f>Miscellaneous!I20</f>
        <v>0</v>
      </c>
      <c r="J46" s="34">
        <f>Miscellaneous!J20</f>
        <v>-9850</v>
      </c>
      <c r="K46" s="34">
        <f>Miscellaneous!K20</f>
        <v>-9850</v>
      </c>
      <c r="L46" s="34">
        <f>Miscellaneous!L20</f>
        <v>-9850</v>
      </c>
      <c r="M46" s="34">
        <f>Miscellaneous!M20</f>
        <v>-9850</v>
      </c>
    </row>
    <row r="47" spans="2:13" x14ac:dyDescent="0.25">
      <c r="B47" s="6" t="s">
        <v>110</v>
      </c>
      <c r="C47" s="34">
        <f>'Town Hall'!C27</f>
        <v>0</v>
      </c>
      <c r="D47" s="34">
        <f>'Town Hall'!D27</f>
        <v>0</v>
      </c>
      <c r="E47" s="34">
        <f>'Town Hall'!E27</f>
        <v>0</v>
      </c>
      <c r="F47" s="34">
        <f>'Town Hall'!F27</f>
        <v>0</v>
      </c>
      <c r="G47" s="34">
        <f>'Town Hall'!G27</f>
        <v>0</v>
      </c>
      <c r="H47" s="34">
        <f>'Town Hall'!H27</f>
        <v>0</v>
      </c>
      <c r="I47" s="34">
        <f>'Town Hall'!I27</f>
        <v>0</v>
      </c>
      <c r="J47" s="34">
        <f>'Town Hall'!J27</f>
        <v>0</v>
      </c>
      <c r="K47" s="34">
        <f>'Town Hall'!K27</f>
        <v>0</v>
      </c>
      <c r="L47" s="34">
        <f>'Town Hall'!L27</f>
        <v>0</v>
      </c>
      <c r="M47" s="34">
        <f>'Town Hall'!M27</f>
        <v>0</v>
      </c>
    </row>
    <row r="48" spans="2:13" x14ac:dyDescent="0.25">
      <c r="B48" s="6" t="s">
        <v>12</v>
      </c>
      <c r="C48" s="34">
        <f>Administration!C50</f>
        <v>0</v>
      </c>
      <c r="D48" s="34">
        <f>Administration!D50</f>
        <v>0</v>
      </c>
      <c r="E48" s="34">
        <f>Administration!E50</f>
        <v>0</v>
      </c>
      <c r="F48" s="34">
        <f>Administration!F50</f>
        <v>0</v>
      </c>
      <c r="G48" s="34">
        <f>Administration!G50</f>
        <v>0</v>
      </c>
      <c r="H48" s="34">
        <f>Administration!H50</f>
        <v>0</v>
      </c>
      <c r="I48" s="34">
        <f>Administration!I50</f>
        <v>-2170</v>
      </c>
      <c r="J48" s="34">
        <f>Administration!J50</f>
        <v>0</v>
      </c>
      <c r="K48" s="34">
        <f>Administration!K50</f>
        <v>0</v>
      </c>
      <c r="L48" s="34">
        <f>Administration!L50</f>
        <v>0</v>
      </c>
      <c r="M48" s="34">
        <f>Administration!M50</f>
        <v>0</v>
      </c>
    </row>
    <row r="49" spans="2:13" x14ac:dyDescent="0.25">
      <c r="B49" s="6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2:13" x14ac:dyDescent="0.25">
      <c r="B50" s="6" t="s">
        <v>0</v>
      </c>
      <c r="C50" s="34">
        <f>SUM(C29:C48)</f>
        <v>-158300</v>
      </c>
      <c r="D50" s="34">
        <f t="shared" ref="D50:M50" si="1">SUM(D29:D48)</f>
        <v>-33470</v>
      </c>
      <c r="E50" s="34">
        <f t="shared" si="1"/>
        <v>-30307</v>
      </c>
      <c r="F50" s="34">
        <f t="shared" si="1"/>
        <v>-6884</v>
      </c>
      <c r="G50" s="34">
        <f t="shared" si="1"/>
        <v>0</v>
      </c>
      <c r="H50" s="34">
        <f t="shared" si="1"/>
        <v>-3721</v>
      </c>
      <c r="I50" s="34">
        <f t="shared" si="1"/>
        <v>-2170</v>
      </c>
      <c r="J50" s="34">
        <f t="shared" si="1"/>
        <v>-163139.70000000001</v>
      </c>
      <c r="K50" s="34">
        <f t="shared" si="1"/>
        <v>-163139.70000000001</v>
      </c>
      <c r="L50" s="34">
        <f t="shared" si="1"/>
        <v>-163139.70000000001</v>
      </c>
      <c r="M50" s="34">
        <f t="shared" si="1"/>
        <v>-163139.70000000001</v>
      </c>
    </row>
    <row r="51" spans="2:13" x14ac:dyDescent="0.25">
      <c r="B51" s="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x14ac:dyDescent="0.25">
      <c r="B52" s="6" t="s">
        <v>73</v>
      </c>
      <c r="C52" s="34">
        <f>C26+C50</f>
        <v>1392280</v>
      </c>
      <c r="D52" s="34">
        <f t="shared" ref="D52:M52" si="2">D26+D50</f>
        <v>735502.13997308211</v>
      </c>
      <c r="E52" s="34">
        <f t="shared" si="2"/>
        <v>296424.75639300136</v>
      </c>
      <c r="F52" s="34">
        <f t="shared" si="2"/>
        <v>282698.99999999994</v>
      </c>
      <c r="G52" s="34">
        <f t="shared" si="2"/>
        <v>291604.76177658141</v>
      </c>
      <c r="H52" s="34">
        <f t="shared" si="2"/>
        <v>-156378.38358008076</v>
      </c>
      <c r="I52" s="34">
        <f t="shared" si="2"/>
        <v>52823.061911170924</v>
      </c>
      <c r="J52" s="34">
        <f t="shared" si="2"/>
        <v>1041161.8</v>
      </c>
      <c r="K52" s="34">
        <f t="shared" si="2"/>
        <v>1412073.1500000001</v>
      </c>
      <c r="L52" s="34">
        <f t="shared" si="2"/>
        <v>1437988.0355</v>
      </c>
      <c r="M52" s="34">
        <f t="shared" si="2"/>
        <v>1464695.2675650003</v>
      </c>
    </row>
  </sheetData>
  <pageMargins left="0.7" right="0.7" top="0.75" bottom="0.75" header="0.3" footer="0.3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T26"/>
  <sheetViews>
    <sheetView workbookViewId="0">
      <selection activeCell="B24" sqref="B24:L29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160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45</v>
      </c>
      <c r="C5" s="13">
        <v>4800</v>
      </c>
      <c r="D5" s="13">
        <f>E5+F5</f>
        <v>2571.1978465679676</v>
      </c>
      <c r="E5" s="13">
        <v>1705.5181695827725</v>
      </c>
      <c r="F5" s="13">
        <v>865.6796769851951</v>
      </c>
      <c r="G5" s="13">
        <f>J5-F5-E5</f>
        <v>2228.8021534320324</v>
      </c>
      <c r="H5" s="13">
        <f t="shared" ref="H5:H7" si="0">E5+F5-D5</f>
        <v>0</v>
      </c>
      <c r="I5" s="13">
        <v>341.10363391655454</v>
      </c>
      <c r="J5" s="13">
        <v>4800</v>
      </c>
      <c r="K5" s="13">
        <f t="shared" ref="K5:M7" si="1">J5*1.03</f>
        <v>4944</v>
      </c>
      <c r="L5" s="13">
        <f t="shared" si="1"/>
        <v>5092.32</v>
      </c>
      <c r="M5" s="13">
        <f t="shared" si="1"/>
        <v>5245.0896000000002</v>
      </c>
      <c r="N5" s="3"/>
      <c r="O5" s="3"/>
      <c r="P5" s="3"/>
      <c r="Q5" s="3"/>
      <c r="R5" s="3"/>
    </row>
    <row r="6" spans="2:20" x14ac:dyDescent="0.25">
      <c r="B6" s="7" t="s">
        <v>56</v>
      </c>
      <c r="C6" s="13">
        <v>200</v>
      </c>
      <c r="D6" s="13">
        <f>E6+F6</f>
        <v>107.13324360699865</v>
      </c>
      <c r="E6" s="13">
        <v>71.063257065948847</v>
      </c>
      <c r="F6" s="13">
        <v>36.069986541049801</v>
      </c>
      <c r="G6" s="13">
        <f>J6-F6-E6</f>
        <v>92.866756393001367</v>
      </c>
      <c r="H6" s="13">
        <f t="shared" si="0"/>
        <v>0</v>
      </c>
      <c r="I6" s="13">
        <v>14.21265141318977</v>
      </c>
      <c r="J6" s="13">
        <v>200</v>
      </c>
      <c r="K6" s="13">
        <f t="shared" si="1"/>
        <v>206</v>
      </c>
      <c r="L6" s="13">
        <f t="shared" si="1"/>
        <v>212.18</v>
      </c>
      <c r="M6" s="13">
        <f t="shared" si="1"/>
        <v>218.5454</v>
      </c>
      <c r="N6" s="3"/>
      <c r="O6" s="3"/>
      <c r="P6" s="3"/>
      <c r="Q6" s="3"/>
      <c r="R6" s="3"/>
    </row>
    <row r="7" spans="2:20" x14ac:dyDescent="0.25">
      <c r="B7" s="7" t="s">
        <v>43</v>
      </c>
      <c r="C7" s="13">
        <v>600</v>
      </c>
      <c r="D7" s="13">
        <f>E7+F7</f>
        <v>321.39973082099596</v>
      </c>
      <c r="E7" s="13">
        <v>213.18977119784657</v>
      </c>
      <c r="F7" s="13">
        <v>108.20995962314939</v>
      </c>
      <c r="G7" s="13">
        <f>J7-F7-E7</f>
        <v>278.60026917900404</v>
      </c>
      <c r="H7" s="13">
        <f t="shared" si="0"/>
        <v>0</v>
      </c>
      <c r="I7" s="13">
        <v>42.637954239569318</v>
      </c>
      <c r="J7" s="13">
        <v>600</v>
      </c>
      <c r="K7" s="13">
        <f t="shared" si="1"/>
        <v>618</v>
      </c>
      <c r="L7" s="13">
        <f t="shared" si="1"/>
        <v>636.54</v>
      </c>
      <c r="M7" s="13">
        <f t="shared" si="1"/>
        <v>655.63620000000003</v>
      </c>
      <c r="N7" s="3"/>
      <c r="O7" s="3"/>
      <c r="P7" s="3"/>
      <c r="Q7" s="3"/>
      <c r="R7" s="3"/>
    </row>
    <row r="8" spans="2:20" x14ac:dyDescent="0.25">
      <c r="B8" s="6" t="s">
        <v>140</v>
      </c>
      <c r="C8" s="10">
        <f t="shared" ref="C8:M8" si="2">SUM(C5:C7)</f>
        <v>5600</v>
      </c>
      <c r="D8" s="10">
        <f t="shared" si="2"/>
        <v>2999.7308209959624</v>
      </c>
      <c r="E8" s="10">
        <f t="shared" si="2"/>
        <v>1989.7711978465679</v>
      </c>
      <c r="F8" s="10">
        <f t="shared" si="2"/>
        <v>1009.9596231493944</v>
      </c>
      <c r="G8" s="10">
        <f t="shared" ref="G8:I8" si="3">SUM(G5:G7)</f>
        <v>2600.2691790040376</v>
      </c>
      <c r="H8" s="10">
        <f t="shared" si="3"/>
        <v>0</v>
      </c>
      <c r="I8" s="10">
        <f t="shared" si="3"/>
        <v>397.95423956931359</v>
      </c>
      <c r="J8" s="10">
        <f t="shared" ref="J8" si="4">SUM(J5:J7)</f>
        <v>5600</v>
      </c>
      <c r="K8" s="10">
        <f t="shared" si="2"/>
        <v>5768</v>
      </c>
      <c r="L8" s="10">
        <f t="shared" si="2"/>
        <v>5941.04</v>
      </c>
      <c r="M8" s="10">
        <f t="shared" si="2"/>
        <v>6119.2712000000001</v>
      </c>
      <c r="N8" s="3"/>
      <c r="O8" s="3"/>
      <c r="P8" s="3"/>
      <c r="Q8" s="3"/>
      <c r="R8" s="3"/>
    </row>
    <row r="9" spans="2:20" x14ac:dyDescent="0.25"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"/>
      <c r="O9" s="3"/>
      <c r="P9" s="3"/>
      <c r="Q9" s="3"/>
      <c r="R9" s="3"/>
    </row>
    <row r="10" spans="2:20" x14ac:dyDescent="0.25">
      <c r="B10" s="7" t="s">
        <v>162</v>
      </c>
      <c r="C10" s="13">
        <v>11000</v>
      </c>
      <c r="D10" s="10"/>
      <c r="E10" s="10"/>
      <c r="F10" s="10"/>
      <c r="G10" s="10"/>
      <c r="H10" s="13">
        <f>E10+F10-D10</f>
        <v>0</v>
      </c>
      <c r="I10" s="13"/>
      <c r="J10" s="13">
        <v>0</v>
      </c>
      <c r="K10" s="13">
        <v>0</v>
      </c>
      <c r="L10" s="13">
        <v>0</v>
      </c>
      <c r="M10" s="13">
        <v>0</v>
      </c>
      <c r="N10" s="3"/>
      <c r="O10" s="3"/>
      <c r="P10" s="3"/>
      <c r="Q10" s="3"/>
      <c r="R10" s="3"/>
    </row>
    <row r="11" spans="2:20" x14ac:dyDescent="0.25">
      <c r="B11" s="7" t="s">
        <v>163</v>
      </c>
      <c r="C11" s="13">
        <v>12000</v>
      </c>
      <c r="D11" s="10"/>
      <c r="E11" s="10"/>
      <c r="F11" s="10"/>
      <c r="G11" s="10"/>
      <c r="H11" s="13">
        <f t="shared" ref="H11:H12" si="5">E11+F11-D11</f>
        <v>0</v>
      </c>
      <c r="I11" s="13"/>
      <c r="J11" s="13">
        <v>0</v>
      </c>
      <c r="K11" s="13">
        <v>0</v>
      </c>
      <c r="L11" s="13">
        <v>0</v>
      </c>
      <c r="M11" s="13">
        <v>0</v>
      </c>
      <c r="N11" s="3"/>
      <c r="O11" s="3"/>
      <c r="P11" s="3"/>
      <c r="Q11" s="3"/>
      <c r="R11" s="3"/>
    </row>
    <row r="12" spans="2:20" x14ac:dyDescent="0.25">
      <c r="B12" s="11" t="s">
        <v>137</v>
      </c>
      <c r="C12" s="13">
        <v>0</v>
      </c>
      <c r="D12" s="10"/>
      <c r="E12" s="10"/>
      <c r="F12" s="10"/>
      <c r="G12" s="10"/>
      <c r="H12" s="13">
        <f t="shared" si="5"/>
        <v>0</v>
      </c>
      <c r="I12" s="10"/>
      <c r="J12" s="13">
        <v>23000</v>
      </c>
      <c r="K12" s="13">
        <v>23000</v>
      </c>
      <c r="L12" s="13">
        <v>23000</v>
      </c>
      <c r="M12" s="13">
        <v>23000</v>
      </c>
      <c r="N12" s="3"/>
      <c r="O12" s="3"/>
      <c r="P12" s="3"/>
      <c r="Q12" s="3"/>
      <c r="R12" s="3"/>
    </row>
    <row r="13" spans="2:20" x14ac:dyDescent="0.25">
      <c r="B13" s="6" t="s">
        <v>161</v>
      </c>
      <c r="C13" s="10">
        <f>SUM(C9:C12)</f>
        <v>23000</v>
      </c>
      <c r="D13" s="10">
        <f t="shared" ref="D13:M13" si="6">SUM(D9:D12)</f>
        <v>0</v>
      </c>
      <c r="E13" s="10">
        <f t="shared" si="6"/>
        <v>0</v>
      </c>
      <c r="F13" s="10">
        <f t="shared" si="6"/>
        <v>0</v>
      </c>
      <c r="G13" s="10">
        <f t="shared" si="6"/>
        <v>0</v>
      </c>
      <c r="H13" s="10">
        <f t="shared" si="6"/>
        <v>0</v>
      </c>
      <c r="I13" s="10">
        <f t="shared" si="6"/>
        <v>0</v>
      </c>
      <c r="J13" s="10">
        <f t="shared" si="6"/>
        <v>23000</v>
      </c>
      <c r="K13" s="10">
        <f t="shared" si="6"/>
        <v>23000</v>
      </c>
      <c r="L13" s="10">
        <f t="shared" si="6"/>
        <v>23000</v>
      </c>
      <c r="M13" s="10">
        <f t="shared" si="6"/>
        <v>23000</v>
      </c>
      <c r="N13" s="3"/>
      <c r="O13" s="3"/>
      <c r="P13" s="3"/>
      <c r="Q13" s="3"/>
      <c r="R13" s="3"/>
    </row>
    <row r="14" spans="2:20" x14ac:dyDescent="0.2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20" x14ac:dyDescent="0.25">
      <c r="B15" s="6" t="s">
        <v>70</v>
      </c>
      <c r="C15" s="10">
        <f>C8+C13</f>
        <v>28600</v>
      </c>
      <c r="D15" s="10">
        <f t="shared" ref="D15:M15" si="7">D8+D13</f>
        <v>2999.7308209959624</v>
      </c>
      <c r="E15" s="10">
        <f t="shared" si="7"/>
        <v>1989.7711978465679</v>
      </c>
      <c r="F15" s="10">
        <f t="shared" si="7"/>
        <v>1009.9596231493944</v>
      </c>
      <c r="G15" s="10">
        <f t="shared" si="7"/>
        <v>2600.2691790040376</v>
      </c>
      <c r="H15" s="10">
        <f t="shared" si="7"/>
        <v>0</v>
      </c>
      <c r="I15" s="10">
        <f t="shared" si="7"/>
        <v>397.95423956931359</v>
      </c>
      <c r="J15" s="10">
        <f t="shared" si="7"/>
        <v>28600</v>
      </c>
      <c r="K15" s="10">
        <f t="shared" si="7"/>
        <v>28768</v>
      </c>
      <c r="L15" s="10">
        <f t="shared" si="7"/>
        <v>28941.040000000001</v>
      </c>
      <c r="M15" s="10">
        <f t="shared" si="7"/>
        <v>29119.271199999999</v>
      </c>
      <c r="N15" s="3"/>
      <c r="O15" s="3"/>
      <c r="P15" s="3"/>
      <c r="Q15" s="3"/>
      <c r="R15" s="3"/>
    </row>
    <row r="16" spans="2:20" x14ac:dyDescent="0.2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x14ac:dyDescent="0.25">
      <c r="B17" s="7" t="s">
        <v>107</v>
      </c>
      <c r="C17" s="13">
        <v>-8800</v>
      </c>
      <c r="D17" s="13">
        <v>-1250</v>
      </c>
      <c r="E17" s="13">
        <v>-1250</v>
      </c>
      <c r="F17" s="10"/>
      <c r="G17" s="10"/>
      <c r="H17" s="13">
        <f t="shared" ref="H17:H19" si="8">E17+F17-D17</f>
        <v>0</v>
      </c>
      <c r="I17" s="13"/>
      <c r="J17" s="13">
        <v>-8800</v>
      </c>
      <c r="K17" s="13">
        <v>-8800</v>
      </c>
      <c r="L17" s="13">
        <v>-8800</v>
      </c>
      <c r="M17" s="13">
        <v>-8800</v>
      </c>
      <c r="N17" s="3"/>
      <c r="O17" s="3"/>
      <c r="P17" s="3"/>
      <c r="Q17" s="3"/>
      <c r="R17" s="3"/>
    </row>
    <row r="18" spans="2:18" x14ac:dyDescent="0.25">
      <c r="B18" s="7" t="s">
        <v>155</v>
      </c>
      <c r="C18" s="13">
        <v>0</v>
      </c>
      <c r="D18" s="13">
        <v>0</v>
      </c>
      <c r="E18" s="13">
        <v>-50</v>
      </c>
      <c r="F18" s="10"/>
      <c r="G18" s="10"/>
      <c r="H18" s="13">
        <f t="shared" si="8"/>
        <v>-50</v>
      </c>
      <c r="I18" s="13"/>
      <c r="J18" s="13">
        <v>-50</v>
      </c>
      <c r="K18" s="13">
        <v>-50</v>
      </c>
      <c r="L18" s="13">
        <v>-50</v>
      </c>
      <c r="M18" s="13">
        <v>-50</v>
      </c>
      <c r="N18" s="3"/>
      <c r="O18" s="3"/>
      <c r="P18" s="3"/>
      <c r="Q18" s="3"/>
      <c r="R18" s="3"/>
    </row>
    <row r="19" spans="2:18" x14ac:dyDescent="0.25">
      <c r="B19" s="7" t="s">
        <v>106</v>
      </c>
      <c r="C19" s="13">
        <v>-1000</v>
      </c>
      <c r="D19" s="10"/>
      <c r="E19" s="10"/>
      <c r="F19" s="10"/>
      <c r="G19" s="10"/>
      <c r="H19" s="13">
        <f t="shared" si="8"/>
        <v>0</v>
      </c>
      <c r="I19" s="13"/>
      <c r="J19" s="13">
        <v>-1000</v>
      </c>
      <c r="K19" s="13">
        <v>-1000</v>
      </c>
      <c r="L19" s="13">
        <v>-1000</v>
      </c>
      <c r="M19" s="13">
        <v>-1000</v>
      </c>
      <c r="N19" s="3"/>
      <c r="O19" s="3"/>
      <c r="P19" s="3"/>
      <c r="Q19" s="3"/>
      <c r="R19" s="3"/>
    </row>
    <row r="20" spans="2:18" x14ac:dyDescent="0.25">
      <c r="B20" s="6" t="s">
        <v>0</v>
      </c>
      <c r="C20" s="10">
        <f>SUM(C17:C19)</f>
        <v>-9800</v>
      </c>
      <c r="D20" s="10">
        <f t="shared" ref="D20:M20" si="9">SUM(D17:D19)</f>
        <v>-1250</v>
      </c>
      <c r="E20" s="10">
        <f t="shared" si="9"/>
        <v>-1300</v>
      </c>
      <c r="F20" s="10">
        <f t="shared" si="9"/>
        <v>0</v>
      </c>
      <c r="G20" s="10">
        <f t="shared" ref="G20:I20" si="10">SUM(G17:G19)</f>
        <v>0</v>
      </c>
      <c r="H20" s="10">
        <f t="shared" si="10"/>
        <v>-50</v>
      </c>
      <c r="I20" s="10">
        <f t="shared" si="10"/>
        <v>0</v>
      </c>
      <c r="J20" s="10">
        <f>SUM(J17:J19)</f>
        <v>-9850</v>
      </c>
      <c r="K20" s="10">
        <f t="shared" si="9"/>
        <v>-9850</v>
      </c>
      <c r="L20" s="10">
        <f t="shared" si="9"/>
        <v>-9850</v>
      </c>
      <c r="M20" s="10">
        <f t="shared" si="9"/>
        <v>-9850</v>
      </c>
      <c r="N20" s="3"/>
      <c r="O20" s="3"/>
      <c r="P20" s="3"/>
      <c r="Q20" s="3"/>
      <c r="R20" s="3"/>
    </row>
    <row r="21" spans="2:18" x14ac:dyDescent="0.25"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"/>
      <c r="O21" s="3"/>
      <c r="P21" s="3"/>
      <c r="Q21" s="3"/>
      <c r="R21" s="3"/>
    </row>
    <row r="22" spans="2:18" x14ac:dyDescent="0.25">
      <c r="B22" s="6" t="s">
        <v>73</v>
      </c>
      <c r="C22" s="10">
        <f t="shared" ref="C22:M22" si="11">C15+C20</f>
        <v>18800</v>
      </c>
      <c r="D22" s="10">
        <f t="shared" si="11"/>
        <v>1749.7308209959624</v>
      </c>
      <c r="E22" s="10">
        <f t="shared" si="11"/>
        <v>689.77119784656793</v>
      </c>
      <c r="F22" s="10">
        <f t="shared" si="11"/>
        <v>1009.9596231493944</v>
      </c>
      <c r="G22" s="10">
        <f t="shared" ref="G22:I22" si="12">G15+G20</f>
        <v>2600.2691790040376</v>
      </c>
      <c r="H22" s="10">
        <f t="shared" si="12"/>
        <v>-50</v>
      </c>
      <c r="I22" s="10">
        <f t="shared" si="12"/>
        <v>397.95423956931359</v>
      </c>
      <c r="J22" s="10">
        <f t="shared" ref="J22" si="13">J15+J20</f>
        <v>18750</v>
      </c>
      <c r="K22" s="10">
        <f t="shared" si="11"/>
        <v>18918</v>
      </c>
      <c r="L22" s="10">
        <f t="shared" si="11"/>
        <v>19091.04</v>
      </c>
      <c r="M22" s="10">
        <f t="shared" si="11"/>
        <v>19269.271199999999</v>
      </c>
      <c r="N22" s="3"/>
      <c r="O22" s="3"/>
      <c r="P22" s="3"/>
      <c r="Q22" s="3"/>
      <c r="R22" s="3"/>
    </row>
    <row r="24" spans="2:18" x14ac:dyDescent="0.25">
      <c r="B24" s="2"/>
    </row>
    <row r="26" spans="2:18" x14ac:dyDescent="0.25">
      <c r="B26" s="37"/>
    </row>
  </sheetData>
  <pageMargins left="0.7" right="0.7" top="0.75" bottom="0.75" header="0.3" footer="0.3"/>
  <pageSetup paperSize="9"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T37"/>
  <sheetViews>
    <sheetView workbookViewId="0">
      <selection activeCell="B31" sqref="B31:W37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45" t="s">
        <v>110</v>
      </c>
      <c r="C2" s="40" t="s">
        <v>82</v>
      </c>
      <c r="D2" s="40" t="s">
        <v>83</v>
      </c>
      <c r="E2" s="40" t="s">
        <v>84</v>
      </c>
      <c r="F2" s="159" t="s">
        <v>142</v>
      </c>
      <c r="G2" s="159" t="s">
        <v>150</v>
      </c>
      <c r="H2" s="159" t="s">
        <v>85</v>
      </c>
      <c r="I2" s="159" t="s">
        <v>151</v>
      </c>
      <c r="J2" s="40" t="s">
        <v>136</v>
      </c>
      <c r="K2" s="40" t="s">
        <v>171</v>
      </c>
      <c r="L2" s="40" t="s">
        <v>86</v>
      </c>
      <c r="M2" s="40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8" t="s">
        <v>58</v>
      </c>
      <c r="C5" s="13">
        <v>37920</v>
      </c>
      <c r="D5" s="13">
        <v>0</v>
      </c>
      <c r="E5" s="10"/>
      <c r="F5" s="10"/>
      <c r="G5" s="10"/>
      <c r="H5" s="13">
        <f t="shared" ref="H5:H13" si="0">E5+F5-D5</f>
        <v>0</v>
      </c>
      <c r="I5" s="13"/>
      <c r="J5" s="13">
        <v>0</v>
      </c>
      <c r="K5" s="13">
        <v>20000</v>
      </c>
      <c r="L5" s="13">
        <f t="shared" ref="L5:M6" si="1">K5*1.03</f>
        <v>20600</v>
      </c>
      <c r="M5" s="13">
        <f t="shared" si="1"/>
        <v>21218</v>
      </c>
      <c r="N5" s="3"/>
      <c r="O5" s="3"/>
      <c r="P5" s="3"/>
      <c r="Q5" s="3"/>
      <c r="R5" s="3"/>
    </row>
    <row r="6" spans="2:20" x14ac:dyDescent="0.25">
      <c r="B6" s="8" t="s">
        <v>172</v>
      </c>
      <c r="C6" s="13">
        <v>0</v>
      </c>
      <c r="D6" s="13">
        <v>0</v>
      </c>
      <c r="E6" s="10"/>
      <c r="F6" s="10"/>
      <c r="G6" s="10"/>
      <c r="H6" s="13">
        <f t="shared" si="0"/>
        <v>0</v>
      </c>
      <c r="I6" s="13"/>
      <c r="J6" s="13">
        <v>1530</v>
      </c>
      <c r="K6" s="13">
        <f>J6*1.03</f>
        <v>1575.9</v>
      </c>
      <c r="L6" s="13">
        <f t="shared" si="1"/>
        <v>1623.1770000000001</v>
      </c>
      <c r="M6" s="13">
        <f t="shared" si="1"/>
        <v>1671.8723100000002</v>
      </c>
      <c r="N6" s="3"/>
      <c r="O6" s="3"/>
      <c r="P6" s="3"/>
      <c r="Q6" s="3"/>
      <c r="R6" s="3"/>
    </row>
    <row r="7" spans="2:20" x14ac:dyDescent="0.25">
      <c r="B7" s="8" t="s">
        <v>81</v>
      </c>
      <c r="C7" s="13">
        <v>100</v>
      </c>
      <c r="D7" s="13">
        <v>100</v>
      </c>
      <c r="E7" s="13">
        <v>186</v>
      </c>
      <c r="F7" s="13">
        <v>2</v>
      </c>
      <c r="G7" s="10"/>
      <c r="H7" s="13">
        <f t="shared" si="0"/>
        <v>88</v>
      </c>
      <c r="I7" s="13"/>
      <c r="J7" s="13">
        <v>300</v>
      </c>
      <c r="K7" s="13">
        <v>100</v>
      </c>
      <c r="L7" s="13">
        <f t="shared" ref="L7:M7" si="2">K7*1.03</f>
        <v>103</v>
      </c>
      <c r="M7" s="13">
        <f t="shared" si="2"/>
        <v>106.09</v>
      </c>
      <c r="N7" s="3"/>
      <c r="O7" s="3"/>
      <c r="P7" s="3"/>
      <c r="Q7" s="3"/>
      <c r="R7" s="3"/>
    </row>
    <row r="8" spans="2:20" x14ac:dyDescent="0.25">
      <c r="B8" s="8" t="s">
        <v>59</v>
      </c>
      <c r="C8" s="13">
        <v>400</v>
      </c>
      <c r="D8" s="13">
        <v>0</v>
      </c>
      <c r="E8" s="10"/>
      <c r="F8" s="10"/>
      <c r="G8" s="10"/>
      <c r="H8" s="13">
        <f t="shared" si="0"/>
        <v>0</v>
      </c>
      <c r="I8" s="13"/>
      <c r="J8" s="13">
        <f t="shared" ref="J8" si="3">C8*0.75</f>
        <v>300</v>
      </c>
      <c r="K8" s="13">
        <v>400</v>
      </c>
      <c r="L8" s="13">
        <f t="shared" ref="L8:M8" si="4">K8*1.03</f>
        <v>412</v>
      </c>
      <c r="M8" s="13">
        <f t="shared" si="4"/>
        <v>424.36</v>
      </c>
      <c r="N8" s="3"/>
      <c r="O8" s="3"/>
      <c r="P8" s="3"/>
      <c r="Q8" s="3"/>
      <c r="R8" s="3"/>
    </row>
    <row r="9" spans="2:20" x14ac:dyDescent="0.25">
      <c r="B9" s="7" t="s">
        <v>65</v>
      </c>
      <c r="C9" s="9">
        <v>8000</v>
      </c>
      <c r="D9" s="13">
        <v>0</v>
      </c>
      <c r="E9" s="10"/>
      <c r="F9" s="10"/>
      <c r="G9" s="10"/>
      <c r="H9" s="13">
        <f t="shared" si="0"/>
        <v>0</v>
      </c>
      <c r="I9" s="13"/>
      <c r="J9" s="13">
        <v>4000</v>
      </c>
      <c r="K9" s="9">
        <v>8000</v>
      </c>
      <c r="L9" s="13">
        <f t="shared" ref="L9:M9" si="5">K9*1.03</f>
        <v>8240</v>
      </c>
      <c r="M9" s="13">
        <f t="shared" si="5"/>
        <v>8487.2000000000007</v>
      </c>
      <c r="N9" s="3"/>
      <c r="O9" s="3"/>
      <c r="P9" s="3"/>
      <c r="Q9" s="3"/>
      <c r="R9" s="3"/>
    </row>
    <row r="10" spans="2:20" x14ac:dyDescent="0.25">
      <c r="B10" s="7" t="s">
        <v>66</v>
      </c>
      <c r="C10" s="9">
        <v>6000</v>
      </c>
      <c r="D10" s="13">
        <v>3000</v>
      </c>
      <c r="E10" s="13">
        <v>551</v>
      </c>
      <c r="F10" s="13">
        <v>635</v>
      </c>
      <c r="G10" s="13"/>
      <c r="H10" s="13">
        <f t="shared" si="0"/>
        <v>-1814</v>
      </c>
      <c r="I10" s="13"/>
      <c r="J10" s="13">
        <v>2000</v>
      </c>
      <c r="K10" s="9">
        <v>6000</v>
      </c>
      <c r="L10" s="13">
        <f t="shared" ref="L10:M10" si="6">K10*1.03</f>
        <v>6180</v>
      </c>
      <c r="M10" s="13">
        <f t="shared" si="6"/>
        <v>6365.4000000000005</v>
      </c>
      <c r="N10" s="3"/>
      <c r="O10" s="3"/>
      <c r="P10" s="3"/>
      <c r="Q10" s="3"/>
      <c r="R10" s="3"/>
    </row>
    <row r="11" spans="2:20" x14ac:dyDescent="0.25">
      <c r="B11" s="7" t="s">
        <v>67</v>
      </c>
      <c r="C11" s="9">
        <v>16000</v>
      </c>
      <c r="D11" s="13">
        <v>5330</v>
      </c>
      <c r="E11" s="13">
        <v>1475</v>
      </c>
      <c r="F11" s="13">
        <v>1483</v>
      </c>
      <c r="G11" s="13"/>
      <c r="H11" s="13">
        <f t="shared" si="0"/>
        <v>-2372</v>
      </c>
      <c r="I11" s="13"/>
      <c r="J11" s="13">
        <v>9000</v>
      </c>
      <c r="K11" s="9">
        <v>16000</v>
      </c>
      <c r="L11" s="13">
        <f t="shared" ref="L11:M11" si="7">K11*1.03</f>
        <v>16480</v>
      </c>
      <c r="M11" s="13">
        <f t="shared" si="7"/>
        <v>16974.400000000001</v>
      </c>
      <c r="N11" s="3"/>
      <c r="O11" s="3"/>
      <c r="P11" s="3"/>
      <c r="Q11" s="3"/>
      <c r="R11" s="3"/>
    </row>
    <row r="12" spans="2:20" x14ac:dyDescent="0.25">
      <c r="B12" s="7" t="s">
        <v>68</v>
      </c>
      <c r="C12" s="9">
        <v>9000</v>
      </c>
      <c r="D12" s="13">
        <v>3000</v>
      </c>
      <c r="E12" s="13">
        <v>307</v>
      </c>
      <c r="F12" s="13">
        <v>204</v>
      </c>
      <c r="G12" s="13"/>
      <c r="H12" s="13">
        <f t="shared" si="0"/>
        <v>-2489</v>
      </c>
      <c r="I12" s="13"/>
      <c r="J12" s="13">
        <v>1200</v>
      </c>
      <c r="K12" s="9">
        <v>9000</v>
      </c>
      <c r="L12" s="13">
        <f t="shared" ref="L12:M12" si="8">K12*1.03</f>
        <v>9270</v>
      </c>
      <c r="M12" s="13">
        <f t="shared" si="8"/>
        <v>9548.1</v>
      </c>
      <c r="N12" s="3"/>
      <c r="O12" s="3"/>
      <c r="P12" s="3"/>
      <c r="Q12" s="3"/>
      <c r="R12" s="3"/>
    </row>
    <row r="13" spans="2:20" x14ac:dyDescent="0.25">
      <c r="B13" s="7" t="s">
        <v>69</v>
      </c>
      <c r="C13" s="9">
        <v>5000</v>
      </c>
      <c r="D13" s="13">
        <v>5000</v>
      </c>
      <c r="E13" s="10"/>
      <c r="F13" s="10"/>
      <c r="G13" s="10"/>
      <c r="H13" s="13">
        <f t="shared" si="0"/>
        <v>-5000</v>
      </c>
      <c r="I13" s="13"/>
      <c r="J13" s="9">
        <v>0</v>
      </c>
      <c r="K13" s="9">
        <v>0</v>
      </c>
      <c r="L13" s="9">
        <v>0</v>
      </c>
      <c r="M13" s="9">
        <v>0</v>
      </c>
      <c r="N13" s="3"/>
      <c r="O13" s="3"/>
      <c r="P13" s="3"/>
      <c r="Q13" s="3"/>
      <c r="R13" s="3"/>
    </row>
    <row r="14" spans="2:20" x14ac:dyDescent="0.25">
      <c r="B14" s="6" t="s">
        <v>80</v>
      </c>
      <c r="C14" s="10">
        <f t="shared" ref="C14:M14" si="9">SUM(C5:C13)</f>
        <v>82420</v>
      </c>
      <c r="D14" s="10">
        <f t="shared" si="9"/>
        <v>16430</v>
      </c>
      <c r="E14" s="10">
        <f t="shared" si="9"/>
        <v>2519</v>
      </c>
      <c r="F14" s="10">
        <f t="shared" si="9"/>
        <v>2324</v>
      </c>
      <c r="G14" s="10">
        <f t="shared" ref="G14:I14" si="10">SUM(G5:G13)</f>
        <v>0</v>
      </c>
      <c r="H14" s="10">
        <f t="shared" si="9"/>
        <v>-11587</v>
      </c>
      <c r="I14" s="10">
        <f t="shared" si="10"/>
        <v>0</v>
      </c>
      <c r="J14" s="10">
        <f t="shared" ref="J14" si="11">SUM(J5:J13)</f>
        <v>18330</v>
      </c>
      <c r="K14" s="10">
        <f t="shared" si="9"/>
        <v>61075.9</v>
      </c>
      <c r="L14" s="10">
        <f t="shared" si="9"/>
        <v>62908.176999999996</v>
      </c>
      <c r="M14" s="10">
        <f t="shared" si="9"/>
        <v>64795.422310000002</v>
      </c>
      <c r="N14" s="3"/>
      <c r="O14" s="3"/>
      <c r="P14" s="3"/>
      <c r="Q14" s="3"/>
      <c r="R14" s="3"/>
    </row>
    <row r="15" spans="2:20" x14ac:dyDescent="0.2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20" x14ac:dyDescent="0.25">
      <c r="B16" s="8" t="s">
        <v>60</v>
      </c>
      <c r="C16" s="13">
        <v>200</v>
      </c>
      <c r="D16" s="10"/>
      <c r="E16" s="10"/>
      <c r="F16" s="10"/>
      <c r="G16" s="10"/>
      <c r="H16" s="13">
        <f t="shared" ref="H16:H20" si="12">E16+F16-D16</f>
        <v>0</v>
      </c>
      <c r="I16" s="10"/>
      <c r="J16" s="13">
        <v>0</v>
      </c>
      <c r="K16" s="13">
        <v>200</v>
      </c>
      <c r="L16" s="13">
        <f t="shared" ref="L16:M16" si="13">K16*1.03</f>
        <v>206</v>
      </c>
      <c r="M16" s="13">
        <f t="shared" si="13"/>
        <v>212.18</v>
      </c>
      <c r="N16" s="3"/>
      <c r="O16" s="3"/>
      <c r="P16" s="3"/>
      <c r="Q16" s="3"/>
      <c r="R16" s="3"/>
    </row>
    <row r="17" spans="2:18" x14ac:dyDescent="0.25">
      <c r="B17" s="8" t="s">
        <v>61</v>
      </c>
      <c r="C17" s="13">
        <v>1000</v>
      </c>
      <c r="D17" s="10"/>
      <c r="E17" s="10"/>
      <c r="F17" s="10"/>
      <c r="G17" s="10"/>
      <c r="H17" s="13">
        <f t="shared" si="12"/>
        <v>0</v>
      </c>
      <c r="I17" s="10"/>
      <c r="J17" s="13">
        <v>0</v>
      </c>
      <c r="K17" s="13">
        <v>1000</v>
      </c>
      <c r="L17" s="13">
        <f t="shared" ref="L17:M17" si="14">K17*1.03</f>
        <v>1030</v>
      </c>
      <c r="M17" s="13">
        <f t="shared" si="14"/>
        <v>1060.9000000000001</v>
      </c>
      <c r="N17" s="3"/>
      <c r="O17" s="3"/>
      <c r="P17" s="3"/>
      <c r="Q17" s="3"/>
      <c r="R17" s="3"/>
    </row>
    <row r="18" spans="2:18" x14ac:dyDescent="0.25">
      <c r="B18" s="8" t="s">
        <v>62</v>
      </c>
      <c r="C18" s="13">
        <v>2000</v>
      </c>
      <c r="D18" s="10"/>
      <c r="E18" s="10"/>
      <c r="F18" s="10"/>
      <c r="G18" s="10"/>
      <c r="H18" s="13">
        <f t="shared" si="12"/>
        <v>0</v>
      </c>
      <c r="I18" s="10"/>
      <c r="J18" s="13">
        <v>0</v>
      </c>
      <c r="K18" s="13">
        <v>2000</v>
      </c>
      <c r="L18" s="13">
        <f t="shared" ref="L18:M18" si="15">K18*1.03</f>
        <v>2060</v>
      </c>
      <c r="M18" s="13">
        <f t="shared" si="15"/>
        <v>2121.8000000000002</v>
      </c>
      <c r="N18" s="3"/>
      <c r="O18" s="3"/>
      <c r="P18" s="3"/>
      <c r="Q18" s="3"/>
      <c r="R18" s="3"/>
    </row>
    <row r="19" spans="2:18" x14ac:dyDescent="0.25">
      <c r="B19" s="8" t="s">
        <v>63</v>
      </c>
      <c r="C19" s="13">
        <v>100</v>
      </c>
      <c r="D19" s="10"/>
      <c r="E19" s="10"/>
      <c r="F19" s="10"/>
      <c r="G19" s="10"/>
      <c r="H19" s="13">
        <f t="shared" si="12"/>
        <v>0</v>
      </c>
      <c r="I19" s="10"/>
      <c r="J19" s="13">
        <v>0</v>
      </c>
      <c r="K19" s="13">
        <v>100</v>
      </c>
      <c r="L19" s="13">
        <f t="shared" ref="L19:M19" si="16">K19*1.03</f>
        <v>103</v>
      </c>
      <c r="M19" s="13">
        <f t="shared" si="16"/>
        <v>106.09</v>
      </c>
      <c r="N19" s="3"/>
      <c r="O19" s="3"/>
      <c r="P19" s="3"/>
      <c r="Q19" s="3"/>
      <c r="R19" s="3"/>
    </row>
    <row r="20" spans="2:18" x14ac:dyDescent="0.25">
      <c r="B20" s="8" t="s">
        <v>64</v>
      </c>
      <c r="C20" s="13">
        <v>400</v>
      </c>
      <c r="D20" s="10"/>
      <c r="E20" s="10"/>
      <c r="F20" s="10"/>
      <c r="G20" s="10"/>
      <c r="H20" s="13">
        <f t="shared" si="12"/>
        <v>0</v>
      </c>
      <c r="I20" s="10"/>
      <c r="J20" s="13">
        <v>0</v>
      </c>
      <c r="K20" s="13">
        <v>400</v>
      </c>
      <c r="L20" s="13">
        <f t="shared" ref="L20:M20" si="17">K20*1.03</f>
        <v>412</v>
      </c>
      <c r="M20" s="13">
        <f t="shared" si="17"/>
        <v>424.36</v>
      </c>
      <c r="N20" s="3"/>
      <c r="O20" s="3"/>
      <c r="P20" s="3"/>
      <c r="Q20" s="3"/>
      <c r="R20" s="3"/>
    </row>
    <row r="21" spans="2:18" x14ac:dyDescent="0.25">
      <c r="B21" s="18" t="s">
        <v>88</v>
      </c>
      <c r="C21" s="10">
        <f>SUM(C16:C20)</f>
        <v>3700</v>
      </c>
      <c r="D21" s="10">
        <f t="shared" ref="D21:M21" si="18">SUM(D16:D20)</f>
        <v>0</v>
      </c>
      <c r="E21" s="10">
        <f t="shared" si="18"/>
        <v>0</v>
      </c>
      <c r="F21" s="10">
        <f t="shared" si="18"/>
        <v>0</v>
      </c>
      <c r="G21" s="10">
        <f t="shared" ref="G21:I21" si="19">SUM(G16:G20)</f>
        <v>0</v>
      </c>
      <c r="H21" s="10">
        <f t="shared" si="18"/>
        <v>0</v>
      </c>
      <c r="I21" s="10">
        <f t="shared" si="19"/>
        <v>0</v>
      </c>
      <c r="J21" s="10">
        <f>SUM(J16:J20)</f>
        <v>0</v>
      </c>
      <c r="K21" s="10">
        <f t="shared" si="18"/>
        <v>3700</v>
      </c>
      <c r="L21" s="10">
        <f t="shared" si="18"/>
        <v>3811</v>
      </c>
      <c r="M21" s="10">
        <f t="shared" si="18"/>
        <v>3925.3300000000004</v>
      </c>
      <c r="N21" s="3"/>
      <c r="O21" s="3"/>
      <c r="P21" s="3"/>
      <c r="Q21" s="3"/>
      <c r="R21" s="3"/>
    </row>
    <row r="22" spans="2:18" x14ac:dyDescent="0.25">
      <c r="B22" s="8"/>
      <c r="C22" s="13"/>
      <c r="D22" s="10"/>
      <c r="E22" s="10"/>
      <c r="F22" s="10"/>
      <c r="G22" s="10"/>
      <c r="H22" s="10"/>
      <c r="I22" s="10"/>
      <c r="J22" s="13"/>
      <c r="K22" s="10"/>
      <c r="L22" s="10"/>
      <c r="M22" s="10"/>
      <c r="N22" s="3"/>
      <c r="O22" s="3"/>
      <c r="P22" s="3"/>
      <c r="Q22" s="3"/>
      <c r="R22" s="3"/>
    </row>
    <row r="23" spans="2:18" x14ac:dyDescent="0.25">
      <c r="B23" s="6" t="s">
        <v>70</v>
      </c>
      <c r="C23" s="10">
        <f>C14+C21</f>
        <v>86120</v>
      </c>
      <c r="D23" s="10">
        <f t="shared" ref="D23:M23" si="20">D14+D21</f>
        <v>16430</v>
      </c>
      <c r="E23" s="10">
        <f t="shared" si="20"/>
        <v>2519</v>
      </c>
      <c r="F23" s="10">
        <f t="shared" si="20"/>
        <v>2324</v>
      </c>
      <c r="G23" s="10">
        <f t="shared" ref="G23:I23" si="21">G14+G21</f>
        <v>0</v>
      </c>
      <c r="H23" s="10">
        <f t="shared" si="20"/>
        <v>-11587</v>
      </c>
      <c r="I23" s="10">
        <f t="shared" si="21"/>
        <v>0</v>
      </c>
      <c r="J23" s="10">
        <f>J14+J21</f>
        <v>18330</v>
      </c>
      <c r="K23" s="10">
        <f t="shared" si="20"/>
        <v>64775.9</v>
      </c>
      <c r="L23" s="10">
        <f t="shared" si="20"/>
        <v>66719.176999999996</v>
      </c>
      <c r="M23" s="10">
        <f t="shared" si="20"/>
        <v>68720.752309999996</v>
      </c>
      <c r="N23" s="3"/>
      <c r="O23" s="3"/>
      <c r="P23" s="3"/>
      <c r="Q23" s="3"/>
      <c r="R23" s="3"/>
    </row>
    <row r="24" spans="2:18" x14ac:dyDescent="0.25"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"/>
      <c r="O24" s="3"/>
      <c r="P24" s="3"/>
      <c r="Q24" s="3"/>
      <c r="R24" s="3"/>
    </row>
    <row r="25" spans="2:18" x14ac:dyDescent="0.25">
      <c r="B25" s="7"/>
      <c r="C25" s="13"/>
      <c r="D25" s="10"/>
      <c r="E25" s="10"/>
      <c r="F25" s="10"/>
      <c r="G25" s="10"/>
      <c r="H25" s="13">
        <f t="shared" ref="H25:H26" si="22">E25+F25-D25</f>
        <v>0</v>
      </c>
      <c r="I25" s="10"/>
      <c r="J25" s="13"/>
      <c r="K25" s="13"/>
      <c r="L25" s="13"/>
      <c r="M25" s="13"/>
      <c r="N25" s="3"/>
      <c r="O25" s="3"/>
      <c r="P25" s="3"/>
      <c r="Q25" s="3"/>
      <c r="R25" s="3"/>
    </row>
    <row r="26" spans="2:18" x14ac:dyDescent="0.25">
      <c r="B26" s="7"/>
      <c r="C26" s="13"/>
      <c r="D26" s="10"/>
      <c r="E26" s="10"/>
      <c r="F26" s="10"/>
      <c r="G26" s="10"/>
      <c r="H26" s="13">
        <f t="shared" si="22"/>
        <v>0</v>
      </c>
      <c r="I26" s="10"/>
      <c r="J26" s="13"/>
      <c r="K26" s="13"/>
      <c r="L26" s="13"/>
      <c r="M26" s="13"/>
      <c r="N26" s="3"/>
      <c r="O26" s="3"/>
      <c r="P26" s="3"/>
      <c r="Q26" s="3"/>
      <c r="R26" s="3"/>
    </row>
    <row r="27" spans="2:18" x14ac:dyDescent="0.25">
      <c r="B27" s="6" t="s">
        <v>0</v>
      </c>
      <c r="C27" s="10">
        <f>SUM(C25:C26)</f>
        <v>0</v>
      </c>
      <c r="D27" s="10">
        <f t="shared" ref="D27:M27" si="23">SUM(D25:D26)</f>
        <v>0</v>
      </c>
      <c r="E27" s="10">
        <f t="shared" si="23"/>
        <v>0</v>
      </c>
      <c r="F27" s="10">
        <f t="shared" si="23"/>
        <v>0</v>
      </c>
      <c r="G27" s="10">
        <f t="shared" ref="G27:I27" si="24">SUM(G25:G26)</f>
        <v>0</v>
      </c>
      <c r="H27" s="10">
        <f t="shared" si="23"/>
        <v>0</v>
      </c>
      <c r="I27" s="10">
        <f t="shared" si="24"/>
        <v>0</v>
      </c>
      <c r="J27" s="10">
        <f>SUM(J25:J26)</f>
        <v>0</v>
      </c>
      <c r="K27" s="10">
        <f t="shared" si="23"/>
        <v>0</v>
      </c>
      <c r="L27" s="10">
        <f t="shared" si="23"/>
        <v>0</v>
      </c>
      <c r="M27" s="10">
        <f t="shared" si="23"/>
        <v>0</v>
      </c>
      <c r="N27" s="3"/>
      <c r="O27" s="3"/>
      <c r="P27" s="3"/>
      <c r="Q27" s="3"/>
      <c r="R27" s="3"/>
    </row>
    <row r="28" spans="2:18" x14ac:dyDescent="0.25"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"/>
      <c r="O28" s="3"/>
      <c r="P28" s="3"/>
      <c r="Q28" s="3"/>
      <c r="R28" s="3"/>
    </row>
    <row r="29" spans="2:18" x14ac:dyDescent="0.25">
      <c r="B29" s="6" t="s">
        <v>73</v>
      </c>
      <c r="C29" s="10">
        <f t="shared" ref="C29:M29" si="25">C23+C27</f>
        <v>86120</v>
      </c>
      <c r="D29" s="10">
        <f t="shared" si="25"/>
        <v>16430</v>
      </c>
      <c r="E29" s="10">
        <f t="shared" si="25"/>
        <v>2519</v>
      </c>
      <c r="F29" s="10">
        <f t="shared" si="25"/>
        <v>2324</v>
      </c>
      <c r="G29" s="10">
        <f t="shared" ref="G29:I29" si="26">G23+G27</f>
        <v>0</v>
      </c>
      <c r="H29" s="10">
        <f t="shared" si="25"/>
        <v>-11587</v>
      </c>
      <c r="I29" s="10">
        <f t="shared" si="26"/>
        <v>0</v>
      </c>
      <c r="J29" s="10">
        <f t="shared" ref="J29" si="27">J23+J27</f>
        <v>18330</v>
      </c>
      <c r="K29" s="10">
        <f t="shared" si="25"/>
        <v>64775.9</v>
      </c>
      <c r="L29" s="10">
        <f t="shared" si="25"/>
        <v>66719.176999999996</v>
      </c>
      <c r="M29" s="10">
        <f t="shared" si="25"/>
        <v>68720.752309999996</v>
      </c>
      <c r="N29" s="3"/>
      <c r="O29" s="3"/>
      <c r="P29" s="3"/>
      <c r="Q29" s="3"/>
      <c r="R29" s="3"/>
    </row>
    <row r="31" spans="2:18" x14ac:dyDescent="0.25">
      <c r="B31" s="24"/>
    </row>
    <row r="33" spans="2:2" x14ac:dyDescent="0.25">
      <c r="B33" s="20"/>
    </row>
    <row r="34" spans="2:2" x14ac:dyDescent="0.25">
      <c r="B34" s="20"/>
    </row>
    <row r="37" spans="2:2" x14ac:dyDescent="0.25">
      <c r="B37" s="37"/>
    </row>
  </sheetData>
  <pageMargins left="0.7" right="0.7" top="0.75" bottom="0.75" header="0.3" footer="0.3"/>
  <pageSetup paperSize="9" scale="5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T64"/>
  <sheetViews>
    <sheetView topLeftCell="A37" workbookViewId="0">
      <selection activeCell="B54" sqref="B54:V65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12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40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39" t="s">
        <v>14</v>
      </c>
      <c r="C5" s="38">
        <v>60000</v>
      </c>
      <c r="D5" s="13">
        <f>C5/2</f>
        <v>30000</v>
      </c>
      <c r="E5" s="10"/>
      <c r="F5" s="10"/>
      <c r="G5" s="10"/>
      <c r="H5" s="13">
        <f t="shared" ref="H5:H9" si="0">E5+F5-D5</f>
        <v>-30000</v>
      </c>
      <c r="I5" s="13"/>
      <c r="J5" s="13">
        <v>20000</v>
      </c>
      <c r="K5" s="38">
        <v>60000</v>
      </c>
      <c r="L5" s="38">
        <v>60000</v>
      </c>
      <c r="M5" s="38">
        <v>60000</v>
      </c>
      <c r="N5" s="3"/>
      <c r="O5" s="3"/>
      <c r="P5" s="3"/>
      <c r="Q5" s="3"/>
      <c r="R5" s="3"/>
    </row>
    <row r="6" spans="2:20" x14ac:dyDescent="0.25">
      <c r="B6" s="39" t="s">
        <v>15</v>
      </c>
      <c r="C6" s="38">
        <v>35000</v>
      </c>
      <c r="D6" s="13">
        <f t="shared" ref="D6:D12" si="1">C6/2</f>
        <v>17500</v>
      </c>
      <c r="E6" s="10"/>
      <c r="F6" s="10"/>
      <c r="G6" s="10"/>
      <c r="H6" s="13">
        <f t="shared" si="0"/>
        <v>-17500</v>
      </c>
      <c r="I6" s="13"/>
      <c r="J6" s="13">
        <v>12000</v>
      </c>
      <c r="K6" s="38">
        <v>35000</v>
      </c>
      <c r="L6" s="38">
        <v>35000</v>
      </c>
      <c r="M6" s="38">
        <v>35000</v>
      </c>
      <c r="N6" s="3"/>
      <c r="O6" s="3"/>
      <c r="P6" s="3"/>
      <c r="Q6" s="3"/>
      <c r="R6" s="3"/>
    </row>
    <row r="7" spans="2:20" x14ac:dyDescent="0.25">
      <c r="B7" s="39" t="s">
        <v>16</v>
      </c>
      <c r="C7" s="38">
        <v>35000</v>
      </c>
      <c r="D7" s="13">
        <f t="shared" si="1"/>
        <v>17500</v>
      </c>
      <c r="E7" s="10"/>
      <c r="F7" s="10"/>
      <c r="G7" s="10"/>
      <c r="H7" s="13">
        <f t="shared" si="0"/>
        <v>-17500</v>
      </c>
      <c r="I7" s="13"/>
      <c r="J7" s="13">
        <v>0</v>
      </c>
      <c r="K7" s="38">
        <v>35000</v>
      </c>
      <c r="L7" s="38">
        <v>35000</v>
      </c>
      <c r="M7" s="38">
        <v>35000</v>
      </c>
      <c r="N7" s="3"/>
      <c r="O7" s="3"/>
      <c r="P7" s="3"/>
      <c r="Q7" s="3"/>
      <c r="R7" s="3"/>
    </row>
    <row r="8" spans="2:20" x14ac:dyDescent="0.25">
      <c r="B8" s="39" t="s">
        <v>17</v>
      </c>
      <c r="C8" s="38">
        <v>28000</v>
      </c>
      <c r="D8" s="13">
        <f t="shared" si="1"/>
        <v>14000</v>
      </c>
      <c r="E8" s="10"/>
      <c r="F8" s="10"/>
      <c r="G8" s="10"/>
      <c r="H8" s="13">
        <f t="shared" si="0"/>
        <v>-14000</v>
      </c>
      <c r="I8" s="13"/>
      <c r="J8" s="13">
        <v>0</v>
      </c>
      <c r="K8" s="38">
        <v>28000</v>
      </c>
      <c r="L8" s="38">
        <v>28000</v>
      </c>
      <c r="M8" s="38">
        <v>28000</v>
      </c>
      <c r="N8" s="3"/>
      <c r="O8" s="3"/>
      <c r="P8" s="3"/>
      <c r="Q8" s="3"/>
      <c r="R8" s="3"/>
    </row>
    <row r="9" spans="2:20" ht="15.75" thickBot="1" x14ac:dyDescent="0.3">
      <c r="B9" s="39" t="s">
        <v>18</v>
      </c>
      <c r="C9" s="41">
        <v>25000</v>
      </c>
      <c r="D9" s="42">
        <f t="shared" si="1"/>
        <v>12500</v>
      </c>
      <c r="E9" s="43"/>
      <c r="F9" s="43"/>
      <c r="G9" s="43"/>
      <c r="H9" s="42">
        <f t="shared" si="0"/>
        <v>-12500</v>
      </c>
      <c r="I9" s="42"/>
      <c r="J9" s="42">
        <v>8500</v>
      </c>
      <c r="K9" s="41">
        <v>25000</v>
      </c>
      <c r="L9" s="41">
        <v>25000</v>
      </c>
      <c r="M9" s="41">
        <v>25000</v>
      </c>
      <c r="N9" s="3"/>
      <c r="O9" s="3"/>
      <c r="P9" s="3"/>
      <c r="Q9" s="3"/>
      <c r="R9" s="3"/>
    </row>
    <row r="10" spans="2:20" x14ac:dyDescent="0.25">
      <c r="B10" s="8" t="s">
        <v>111</v>
      </c>
      <c r="C10" s="44">
        <f>SUM(C5:C9)</f>
        <v>183000</v>
      </c>
      <c r="D10" s="44">
        <f t="shared" ref="D10:M10" si="2">SUM(D5:D9)</f>
        <v>91500</v>
      </c>
      <c r="E10" s="44">
        <f t="shared" si="2"/>
        <v>0</v>
      </c>
      <c r="F10" s="44">
        <f t="shared" si="2"/>
        <v>0</v>
      </c>
      <c r="G10" s="44">
        <f t="shared" si="2"/>
        <v>0</v>
      </c>
      <c r="H10" s="44">
        <f t="shared" si="2"/>
        <v>-91500</v>
      </c>
      <c r="I10" s="44">
        <f t="shared" si="2"/>
        <v>0</v>
      </c>
      <c r="J10" s="44">
        <f t="shared" si="2"/>
        <v>40500</v>
      </c>
      <c r="K10" s="44">
        <f t="shared" si="2"/>
        <v>183000</v>
      </c>
      <c r="L10" s="44">
        <f t="shared" si="2"/>
        <v>183000</v>
      </c>
      <c r="M10" s="44">
        <f t="shared" si="2"/>
        <v>183000</v>
      </c>
      <c r="N10" s="3"/>
      <c r="O10" s="3"/>
      <c r="P10" s="3"/>
      <c r="Q10" s="3"/>
      <c r="R10" s="3"/>
    </row>
    <row r="11" spans="2:20" x14ac:dyDescent="0.25">
      <c r="B11" s="39" t="s">
        <v>112</v>
      </c>
      <c r="C11" s="13">
        <v>24300</v>
      </c>
      <c r="D11" s="13">
        <f t="shared" si="1"/>
        <v>12150</v>
      </c>
      <c r="E11" s="10"/>
      <c r="F11" s="10"/>
      <c r="G11" s="10"/>
      <c r="H11" s="13">
        <f t="shared" ref="H11:H13" si="3">E11+F11-D11</f>
        <v>-12150</v>
      </c>
      <c r="I11" s="13"/>
      <c r="J11" s="13">
        <f>J10*13.3%</f>
        <v>5386.5</v>
      </c>
      <c r="K11" s="13">
        <v>24300</v>
      </c>
      <c r="L11" s="13">
        <v>24300</v>
      </c>
      <c r="M11" s="13">
        <v>24300</v>
      </c>
      <c r="N11" s="3"/>
      <c r="O11" s="3"/>
      <c r="P11" s="3"/>
      <c r="Q11" s="3"/>
      <c r="R11" s="3"/>
    </row>
    <row r="12" spans="2:20" x14ac:dyDescent="0.25">
      <c r="B12" s="39" t="s">
        <v>113</v>
      </c>
      <c r="C12" s="13">
        <v>29300</v>
      </c>
      <c r="D12" s="13">
        <f t="shared" si="1"/>
        <v>14650</v>
      </c>
      <c r="E12" s="10"/>
      <c r="F12" s="10"/>
      <c r="G12" s="10"/>
      <c r="H12" s="13">
        <f t="shared" si="3"/>
        <v>-14650</v>
      </c>
      <c r="I12" s="13"/>
      <c r="J12" s="13">
        <f>J10*25%</f>
        <v>10125</v>
      </c>
      <c r="K12" s="13">
        <f t="shared" ref="K12:M12" si="4">K10*25%</f>
        <v>45750</v>
      </c>
      <c r="L12" s="13">
        <f t="shared" si="4"/>
        <v>45750</v>
      </c>
      <c r="M12" s="13">
        <f t="shared" si="4"/>
        <v>45750</v>
      </c>
      <c r="N12" s="3"/>
      <c r="O12" s="3"/>
      <c r="P12" s="3"/>
      <c r="Q12" s="3"/>
      <c r="R12" s="3"/>
    </row>
    <row r="13" spans="2:20" x14ac:dyDescent="0.25">
      <c r="B13" s="39" t="s">
        <v>143</v>
      </c>
      <c r="C13" s="13">
        <v>0</v>
      </c>
      <c r="D13" s="13">
        <v>0</v>
      </c>
      <c r="E13" s="13">
        <v>21875</v>
      </c>
      <c r="F13" s="10"/>
      <c r="G13" s="10"/>
      <c r="H13" s="13">
        <f t="shared" si="3"/>
        <v>21875</v>
      </c>
      <c r="I13" s="13">
        <v>4375</v>
      </c>
      <c r="J13" s="13">
        <v>38560</v>
      </c>
      <c r="K13" s="13">
        <v>0</v>
      </c>
      <c r="L13" s="13">
        <v>0</v>
      </c>
      <c r="M13" s="13">
        <v>0</v>
      </c>
      <c r="N13" s="3"/>
      <c r="O13" s="3"/>
      <c r="P13" s="3"/>
      <c r="Q13" s="3"/>
      <c r="R13" s="3"/>
    </row>
    <row r="14" spans="2:20" x14ac:dyDescent="0.25">
      <c r="B14" s="45" t="s">
        <v>114</v>
      </c>
      <c r="C14" s="10">
        <f>SUM(C10:C13)</f>
        <v>236600</v>
      </c>
      <c r="D14" s="10">
        <f t="shared" ref="D14:M14" si="5">SUM(D10:D13)</f>
        <v>118300</v>
      </c>
      <c r="E14" s="10">
        <f t="shared" si="5"/>
        <v>21875</v>
      </c>
      <c r="F14" s="10">
        <f t="shared" si="5"/>
        <v>0</v>
      </c>
      <c r="G14" s="10">
        <f t="shared" si="5"/>
        <v>0</v>
      </c>
      <c r="H14" s="10">
        <f t="shared" si="5"/>
        <v>-96425</v>
      </c>
      <c r="I14" s="10">
        <f t="shared" si="5"/>
        <v>4375</v>
      </c>
      <c r="J14" s="10">
        <f t="shared" si="5"/>
        <v>94571.5</v>
      </c>
      <c r="K14" s="10">
        <f t="shared" si="5"/>
        <v>253050</v>
      </c>
      <c r="L14" s="10">
        <f t="shared" si="5"/>
        <v>253050</v>
      </c>
      <c r="M14" s="10">
        <f t="shared" si="5"/>
        <v>253050</v>
      </c>
      <c r="N14" s="3"/>
      <c r="O14" s="3"/>
      <c r="P14" s="3"/>
      <c r="Q14" s="3"/>
      <c r="R14" s="3"/>
    </row>
    <row r="15" spans="2:20" x14ac:dyDescent="0.25">
      <c r="B15" s="4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20" x14ac:dyDescent="0.25">
      <c r="B16" s="11" t="s">
        <v>19</v>
      </c>
      <c r="C16" s="13">
        <v>7000</v>
      </c>
      <c r="D16" s="13">
        <f t="shared" ref="D16" si="6">C16/2</f>
        <v>3500</v>
      </c>
      <c r="E16" s="13">
        <v>545</v>
      </c>
      <c r="F16" s="10"/>
      <c r="G16" s="10"/>
      <c r="H16" s="13">
        <f t="shared" ref="H16" si="7">E16+F16-D16</f>
        <v>-2955</v>
      </c>
      <c r="I16" s="13"/>
      <c r="J16" s="13">
        <v>3500</v>
      </c>
      <c r="K16" s="13">
        <v>7000</v>
      </c>
      <c r="L16" s="13">
        <v>7000</v>
      </c>
      <c r="M16" s="13">
        <v>7000</v>
      </c>
      <c r="N16" s="3"/>
      <c r="O16" s="3"/>
      <c r="P16" s="3"/>
      <c r="Q16" s="3"/>
      <c r="R16" s="3"/>
    </row>
    <row r="17" spans="2:18" x14ac:dyDescent="0.25">
      <c r="B17" s="45" t="s">
        <v>115</v>
      </c>
      <c r="C17" s="10">
        <f>C16</f>
        <v>7000</v>
      </c>
      <c r="D17" s="10">
        <f t="shared" ref="D17:M17" si="8">D16</f>
        <v>3500</v>
      </c>
      <c r="E17" s="10">
        <f t="shared" si="8"/>
        <v>545</v>
      </c>
      <c r="F17" s="10">
        <f t="shared" si="8"/>
        <v>0</v>
      </c>
      <c r="G17" s="10">
        <f t="shared" si="8"/>
        <v>0</v>
      </c>
      <c r="H17" s="10">
        <f t="shared" si="8"/>
        <v>-2955</v>
      </c>
      <c r="I17" s="10">
        <f t="shared" si="8"/>
        <v>0</v>
      </c>
      <c r="J17" s="10">
        <f t="shared" ref="J17" si="9">J16</f>
        <v>3500</v>
      </c>
      <c r="K17" s="10">
        <f t="shared" si="8"/>
        <v>7000</v>
      </c>
      <c r="L17" s="10">
        <f t="shared" si="8"/>
        <v>7000</v>
      </c>
      <c r="M17" s="10">
        <f t="shared" si="8"/>
        <v>7000</v>
      </c>
      <c r="N17" s="3"/>
      <c r="O17" s="3"/>
      <c r="P17" s="3"/>
      <c r="Q17" s="3"/>
      <c r="R17" s="3"/>
    </row>
    <row r="18" spans="2:18" x14ac:dyDescent="0.25">
      <c r="B18" s="4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"/>
      <c r="O18" s="3"/>
      <c r="P18" s="3"/>
      <c r="Q18" s="3"/>
      <c r="R18" s="3"/>
    </row>
    <row r="19" spans="2:18" x14ac:dyDescent="0.25">
      <c r="B19" s="11" t="s">
        <v>116</v>
      </c>
      <c r="C19" s="13">
        <v>1500</v>
      </c>
      <c r="D19" s="13">
        <f t="shared" ref="D19" si="10">C19/2</f>
        <v>750</v>
      </c>
      <c r="E19" s="10"/>
      <c r="F19" s="10"/>
      <c r="G19" s="10"/>
      <c r="H19" s="13">
        <f t="shared" ref="H19" si="11">E19+F19-D19</f>
        <v>-750</v>
      </c>
      <c r="I19" s="13"/>
      <c r="J19" s="13">
        <v>750</v>
      </c>
      <c r="K19" s="13">
        <v>1500</v>
      </c>
      <c r="L19" s="13">
        <v>1500</v>
      </c>
      <c r="M19" s="13">
        <v>1500</v>
      </c>
      <c r="N19" s="3"/>
      <c r="O19" s="3"/>
      <c r="P19" s="3"/>
      <c r="Q19" s="3"/>
      <c r="R19" s="3"/>
    </row>
    <row r="20" spans="2:18" x14ac:dyDescent="0.25">
      <c r="B20" s="45" t="s">
        <v>117</v>
      </c>
      <c r="C20" s="10">
        <f t="shared" ref="C20:M20" si="12">C19</f>
        <v>1500</v>
      </c>
      <c r="D20" s="10">
        <f t="shared" si="12"/>
        <v>750</v>
      </c>
      <c r="E20" s="10">
        <f t="shared" si="12"/>
        <v>0</v>
      </c>
      <c r="F20" s="10">
        <f t="shared" si="12"/>
        <v>0</v>
      </c>
      <c r="G20" s="10">
        <f t="shared" si="12"/>
        <v>0</v>
      </c>
      <c r="H20" s="10">
        <f t="shared" si="12"/>
        <v>-750</v>
      </c>
      <c r="I20" s="10">
        <f t="shared" si="12"/>
        <v>0</v>
      </c>
      <c r="J20" s="10">
        <f t="shared" ref="J20" si="13">J19</f>
        <v>750</v>
      </c>
      <c r="K20" s="10">
        <f t="shared" si="12"/>
        <v>1500</v>
      </c>
      <c r="L20" s="10">
        <f t="shared" si="12"/>
        <v>1500</v>
      </c>
      <c r="M20" s="10">
        <f t="shared" si="12"/>
        <v>1500</v>
      </c>
      <c r="N20" s="3"/>
      <c r="O20" s="3"/>
      <c r="P20" s="3"/>
      <c r="Q20" s="3"/>
      <c r="R20" s="3"/>
    </row>
    <row r="21" spans="2:18" x14ac:dyDescent="0.25">
      <c r="B21" s="4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"/>
      <c r="O21" s="3"/>
      <c r="P21" s="3"/>
      <c r="Q21" s="3"/>
      <c r="R21" s="3"/>
    </row>
    <row r="22" spans="2:18" x14ac:dyDescent="0.25">
      <c r="B22" s="39" t="s">
        <v>20</v>
      </c>
      <c r="C22" s="38">
        <v>2000</v>
      </c>
      <c r="D22" s="13">
        <f t="shared" ref="D22:D36" si="14">C22/2</f>
        <v>1000</v>
      </c>
      <c r="E22" s="10"/>
      <c r="F22" s="10"/>
      <c r="G22" s="10"/>
      <c r="H22" s="13">
        <f t="shared" ref="H22:H37" si="15">E22+F22-D22</f>
        <v>-1000</v>
      </c>
      <c r="I22" s="13"/>
      <c r="J22" s="38">
        <v>1000</v>
      </c>
      <c r="K22" s="38">
        <v>2000</v>
      </c>
      <c r="L22" s="38">
        <v>2000</v>
      </c>
      <c r="M22" s="38">
        <v>2000</v>
      </c>
      <c r="N22" s="3"/>
      <c r="O22" s="3"/>
      <c r="P22" s="3"/>
      <c r="Q22" s="3"/>
      <c r="R22" s="3"/>
    </row>
    <row r="23" spans="2:18" x14ac:dyDescent="0.25">
      <c r="B23" s="39" t="s">
        <v>21</v>
      </c>
      <c r="C23" s="38">
        <v>5000</v>
      </c>
      <c r="D23" s="13">
        <f t="shared" si="14"/>
        <v>2500</v>
      </c>
      <c r="E23" s="10"/>
      <c r="F23" s="10"/>
      <c r="G23" s="10"/>
      <c r="H23" s="13">
        <f t="shared" si="15"/>
        <v>-2500</v>
      </c>
      <c r="I23" s="13"/>
      <c r="J23" s="38">
        <v>2500</v>
      </c>
      <c r="K23" s="38">
        <v>5000</v>
      </c>
      <c r="L23" s="38">
        <v>5000</v>
      </c>
      <c r="M23" s="38">
        <v>5000</v>
      </c>
      <c r="N23" s="3"/>
      <c r="O23" s="3"/>
      <c r="P23" s="3"/>
      <c r="Q23" s="3"/>
      <c r="R23" s="3"/>
    </row>
    <row r="24" spans="2:18" x14ac:dyDescent="0.25">
      <c r="B24" s="39" t="s">
        <v>22</v>
      </c>
      <c r="C24" s="38">
        <v>2500</v>
      </c>
      <c r="D24" s="13">
        <f t="shared" si="14"/>
        <v>1250</v>
      </c>
      <c r="E24" s="13">
        <v>80</v>
      </c>
      <c r="F24" s="13"/>
      <c r="G24" s="13"/>
      <c r="H24" s="13">
        <f t="shared" si="15"/>
        <v>-1170</v>
      </c>
      <c r="I24" s="13"/>
      <c r="J24" s="38">
        <v>1500</v>
      </c>
      <c r="K24" s="38">
        <v>2500</v>
      </c>
      <c r="L24" s="38">
        <v>2500</v>
      </c>
      <c r="M24" s="38">
        <v>2500</v>
      </c>
      <c r="N24" s="3"/>
      <c r="O24" s="3"/>
      <c r="P24" s="3"/>
      <c r="Q24" s="3"/>
      <c r="R24" s="3"/>
    </row>
    <row r="25" spans="2:18" x14ac:dyDescent="0.25">
      <c r="B25" s="39" t="s">
        <v>23</v>
      </c>
      <c r="C25" s="38">
        <v>4000</v>
      </c>
      <c r="D25" s="13">
        <f t="shared" si="14"/>
        <v>2000</v>
      </c>
      <c r="E25" s="10"/>
      <c r="F25" s="10"/>
      <c r="G25" s="10"/>
      <c r="H25" s="13">
        <f t="shared" si="15"/>
        <v>-2000</v>
      </c>
      <c r="I25" s="13"/>
      <c r="J25" s="38">
        <v>2000</v>
      </c>
      <c r="K25" s="38">
        <v>4000</v>
      </c>
      <c r="L25" s="38">
        <v>4000</v>
      </c>
      <c r="M25" s="38">
        <v>4000</v>
      </c>
      <c r="N25" s="3"/>
      <c r="O25" s="3"/>
      <c r="P25" s="3"/>
      <c r="Q25" s="3"/>
      <c r="R25" s="3"/>
    </row>
    <row r="26" spans="2:18" x14ac:dyDescent="0.25">
      <c r="B26" s="39" t="s">
        <v>24</v>
      </c>
      <c r="C26" s="38">
        <v>7000</v>
      </c>
      <c r="D26" s="13">
        <f t="shared" si="14"/>
        <v>3500</v>
      </c>
      <c r="E26" s="10"/>
      <c r="F26" s="10"/>
      <c r="G26" s="10"/>
      <c r="H26" s="13">
        <f t="shared" si="15"/>
        <v>-3500</v>
      </c>
      <c r="I26" s="13"/>
      <c r="J26" s="38">
        <v>3500</v>
      </c>
      <c r="K26" s="38">
        <v>7000</v>
      </c>
      <c r="L26" s="38">
        <v>7000</v>
      </c>
      <c r="M26" s="38">
        <v>7000</v>
      </c>
      <c r="N26" s="3"/>
      <c r="O26" s="3"/>
      <c r="P26" s="3"/>
      <c r="Q26" s="3"/>
      <c r="R26" s="3"/>
    </row>
    <row r="27" spans="2:18" x14ac:dyDescent="0.25">
      <c r="B27" s="39" t="s">
        <v>25</v>
      </c>
      <c r="C27" s="38">
        <v>2000</v>
      </c>
      <c r="D27" s="13">
        <f t="shared" si="14"/>
        <v>1000</v>
      </c>
      <c r="E27" s="10"/>
      <c r="F27" s="10"/>
      <c r="G27" s="10"/>
      <c r="H27" s="13">
        <f t="shared" si="15"/>
        <v>-1000</v>
      </c>
      <c r="I27" s="13"/>
      <c r="J27" s="38">
        <v>1000</v>
      </c>
      <c r="K27" s="38">
        <v>2000</v>
      </c>
      <c r="L27" s="38">
        <v>2000</v>
      </c>
      <c r="M27" s="38">
        <v>2000</v>
      </c>
      <c r="N27" s="3"/>
      <c r="O27" s="3"/>
      <c r="P27" s="3"/>
      <c r="Q27" s="3"/>
      <c r="R27" s="3"/>
    </row>
    <row r="28" spans="2:18" x14ac:dyDescent="0.25">
      <c r="B28" s="39" t="s">
        <v>26</v>
      </c>
      <c r="C28" s="38">
        <v>3000</v>
      </c>
      <c r="D28" s="13">
        <v>0</v>
      </c>
      <c r="E28" s="10"/>
      <c r="F28" s="10"/>
      <c r="G28" s="10"/>
      <c r="H28" s="13">
        <f t="shared" si="15"/>
        <v>0</v>
      </c>
      <c r="I28" s="13"/>
      <c r="J28" s="38">
        <v>3000</v>
      </c>
      <c r="K28" s="38">
        <v>3000</v>
      </c>
      <c r="L28" s="38">
        <v>3000</v>
      </c>
      <c r="M28" s="38">
        <v>3000</v>
      </c>
      <c r="N28" s="3"/>
      <c r="O28" s="3"/>
      <c r="P28" s="3"/>
      <c r="Q28" s="3"/>
      <c r="R28" s="3"/>
    </row>
    <row r="29" spans="2:18" x14ac:dyDescent="0.25">
      <c r="B29" s="39" t="s">
        <v>27</v>
      </c>
      <c r="C29" s="38">
        <v>1000</v>
      </c>
      <c r="D29" s="13">
        <v>0</v>
      </c>
      <c r="E29" s="10"/>
      <c r="F29" s="10"/>
      <c r="G29" s="10"/>
      <c r="H29" s="13">
        <f t="shared" si="15"/>
        <v>0</v>
      </c>
      <c r="I29" s="13"/>
      <c r="J29" s="38">
        <v>1000</v>
      </c>
      <c r="K29" s="38">
        <v>1000</v>
      </c>
      <c r="L29" s="38">
        <v>1000</v>
      </c>
      <c r="M29" s="38">
        <v>1000</v>
      </c>
      <c r="N29" s="3"/>
      <c r="O29" s="3"/>
      <c r="P29" s="3"/>
      <c r="Q29" s="3"/>
      <c r="R29" s="3"/>
    </row>
    <row r="30" spans="2:18" x14ac:dyDescent="0.25">
      <c r="B30" s="39" t="s">
        <v>28</v>
      </c>
      <c r="C30" s="38">
        <v>16000</v>
      </c>
      <c r="D30" s="13">
        <v>16000</v>
      </c>
      <c r="E30" s="13">
        <v>26316</v>
      </c>
      <c r="F30" s="13"/>
      <c r="G30" s="13"/>
      <c r="H30" s="13">
        <f t="shared" si="15"/>
        <v>10316</v>
      </c>
      <c r="I30" s="13"/>
      <c r="J30" s="13">
        <v>26316</v>
      </c>
      <c r="K30" s="13">
        <f>J30*1.05</f>
        <v>27631.800000000003</v>
      </c>
      <c r="L30" s="13">
        <f t="shared" ref="L30:M30" si="16">K30*1.03</f>
        <v>28460.754000000004</v>
      </c>
      <c r="M30" s="13">
        <f t="shared" si="16"/>
        <v>29314.576620000007</v>
      </c>
      <c r="N30" s="3"/>
      <c r="O30" s="3"/>
      <c r="P30" s="3"/>
      <c r="Q30" s="3"/>
      <c r="R30" s="3"/>
    </row>
    <row r="31" spans="2:18" x14ac:dyDescent="0.25">
      <c r="B31" s="39" t="s">
        <v>29</v>
      </c>
      <c r="C31" s="38">
        <v>3000</v>
      </c>
      <c r="D31" s="13">
        <f t="shared" si="14"/>
        <v>1500</v>
      </c>
      <c r="E31" s="13">
        <v>73</v>
      </c>
      <c r="F31" s="13"/>
      <c r="G31" s="13"/>
      <c r="H31" s="13">
        <f t="shared" si="15"/>
        <v>-1427</v>
      </c>
      <c r="I31" s="13"/>
      <c r="J31" s="38">
        <v>1500</v>
      </c>
      <c r="K31" s="38">
        <v>3000</v>
      </c>
      <c r="L31" s="38">
        <v>3000</v>
      </c>
      <c r="M31" s="38">
        <v>3000</v>
      </c>
      <c r="N31" s="3"/>
      <c r="O31" s="3"/>
      <c r="P31" s="3"/>
      <c r="Q31" s="3"/>
      <c r="R31" s="3"/>
    </row>
    <row r="32" spans="2:18" x14ac:dyDescent="0.25">
      <c r="B32" s="39" t="s">
        <v>30</v>
      </c>
      <c r="C32" s="38">
        <v>10000</v>
      </c>
      <c r="D32" s="13">
        <f t="shared" si="14"/>
        <v>5000</v>
      </c>
      <c r="E32" s="13">
        <v>460</v>
      </c>
      <c r="F32" s="13"/>
      <c r="G32" s="13"/>
      <c r="H32" s="13">
        <f t="shared" si="15"/>
        <v>-4540</v>
      </c>
      <c r="I32" s="13"/>
      <c r="J32" s="38">
        <v>10000</v>
      </c>
      <c r="K32" s="38">
        <v>10000</v>
      </c>
      <c r="L32" s="38">
        <v>10000</v>
      </c>
      <c r="M32" s="38">
        <v>10000</v>
      </c>
      <c r="N32" s="3"/>
      <c r="O32" s="3"/>
      <c r="P32" s="3"/>
      <c r="Q32" s="3"/>
      <c r="R32" s="3"/>
    </row>
    <row r="33" spans="2:18" x14ac:dyDescent="0.25">
      <c r="B33" s="39" t="s">
        <v>31</v>
      </c>
      <c r="C33" s="38">
        <v>3000</v>
      </c>
      <c r="D33" s="13">
        <f t="shared" si="14"/>
        <v>1500</v>
      </c>
      <c r="E33" s="13">
        <v>38</v>
      </c>
      <c r="F33" s="10"/>
      <c r="G33" s="10"/>
      <c r="H33" s="13">
        <f t="shared" si="15"/>
        <v>-1462</v>
      </c>
      <c r="I33" s="13"/>
      <c r="J33" s="38">
        <v>3000</v>
      </c>
      <c r="K33" s="38">
        <v>3000</v>
      </c>
      <c r="L33" s="38">
        <v>3000</v>
      </c>
      <c r="M33" s="38">
        <v>3000</v>
      </c>
      <c r="N33" s="3"/>
      <c r="O33" s="3"/>
      <c r="P33" s="3"/>
      <c r="Q33" s="3"/>
      <c r="R33" s="3"/>
    </row>
    <row r="34" spans="2:18" x14ac:dyDescent="0.25">
      <c r="B34" s="39" t="s">
        <v>32</v>
      </c>
      <c r="C34" s="38">
        <v>2000</v>
      </c>
      <c r="D34" s="13">
        <f t="shared" si="14"/>
        <v>1000</v>
      </c>
      <c r="E34" s="10"/>
      <c r="F34" s="10"/>
      <c r="G34" s="10"/>
      <c r="H34" s="13">
        <f t="shared" si="15"/>
        <v>-1000</v>
      </c>
      <c r="I34" s="13"/>
      <c r="J34" s="38">
        <v>1000</v>
      </c>
      <c r="K34" s="38">
        <v>2000</v>
      </c>
      <c r="L34" s="38">
        <v>2000</v>
      </c>
      <c r="M34" s="38">
        <v>2000</v>
      </c>
      <c r="N34" s="3"/>
      <c r="O34" s="3"/>
      <c r="P34" s="3"/>
      <c r="Q34" s="3"/>
      <c r="R34" s="3"/>
    </row>
    <row r="35" spans="2:18" x14ac:dyDescent="0.25">
      <c r="B35" s="39" t="s">
        <v>33</v>
      </c>
      <c r="C35" s="38">
        <v>3000</v>
      </c>
      <c r="D35" s="13">
        <f t="shared" si="14"/>
        <v>1500</v>
      </c>
      <c r="E35" s="13">
        <v>55</v>
      </c>
      <c r="F35" s="10"/>
      <c r="G35" s="10"/>
      <c r="H35" s="13">
        <f t="shared" si="15"/>
        <v>-1445</v>
      </c>
      <c r="I35" s="13"/>
      <c r="J35" s="38">
        <v>1500</v>
      </c>
      <c r="K35" s="38">
        <v>3000</v>
      </c>
      <c r="L35" s="38">
        <v>3000</v>
      </c>
      <c r="M35" s="38">
        <v>3000</v>
      </c>
      <c r="N35" s="3"/>
      <c r="O35" s="3"/>
      <c r="P35" s="3"/>
      <c r="Q35" s="3"/>
      <c r="R35" s="3"/>
    </row>
    <row r="36" spans="2:18" x14ac:dyDescent="0.25">
      <c r="B36" s="39" t="s">
        <v>144</v>
      </c>
      <c r="C36" s="38">
        <v>0</v>
      </c>
      <c r="D36" s="13">
        <f t="shared" si="14"/>
        <v>0</v>
      </c>
      <c r="E36" s="10"/>
      <c r="F36" s="10"/>
      <c r="G36" s="10"/>
      <c r="H36" s="13">
        <f t="shared" si="15"/>
        <v>0</v>
      </c>
      <c r="I36" s="13"/>
      <c r="J36" s="38">
        <v>19200</v>
      </c>
      <c r="K36" s="38">
        <v>0</v>
      </c>
      <c r="L36" s="38">
        <v>0</v>
      </c>
      <c r="M36" s="38">
        <v>0</v>
      </c>
      <c r="N36" s="3"/>
      <c r="O36" s="3"/>
      <c r="P36" s="3"/>
      <c r="Q36" s="3"/>
      <c r="R36" s="3"/>
    </row>
    <row r="37" spans="2:18" x14ac:dyDescent="0.25">
      <c r="B37" s="11" t="s">
        <v>13</v>
      </c>
      <c r="C37" s="13">
        <v>39660</v>
      </c>
      <c r="D37" s="13">
        <v>39660</v>
      </c>
      <c r="E37" s="10"/>
      <c r="F37" s="10"/>
      <c r="G37" s="10"/>
      <c r="H37" s="13">
        <f t="shared" si="15"/>
        <v>-39660</v>
      </c>
      <c r="I37" s="13"/>
      <c r="J37" s="13">
        <v>39660</v>
      </c>
      <c r="K37" s="13">
        <v>20000</v>
      </c>
      <c r="L37" s="13">
        <v>20000</v>
      </c>
      <c r="M37" s="13">
        <v>20000</v>
      </c>
      <c r="N37" s="3"/>
      <c r="O37" s="3"/>
      <c r="P37" s="3"/>
      <c r="Q37" s="3"/>
      <c r="R37" s="3"/>
    </row>
    <row r="38" spans="2:18" x14ac:dyDescent="0.25">
      <c r="B38" s="18" t="s">
        <v>88</v>
      </c>
      <c r="C38" s="10">
        <f>SUM(C22:C37)</f>
        <v>103160</v>
      </c>
      <c r="D38" s="10">
        <f t="shared" ref="D38:M38" si="17">SUM(D22:D37)</f>
        <v>77410</v>
      </c>
      <c r="E38" s="10">
        <f t="shared" si="17"/>
        <v>27022</v>
      </c>
      <c r="F38" s="10">
        <f t="shared" si="17"/>
        <v>0</v>
      </c>
      <c r="G38" s="10">
        <f t="shared" si="17"/>
        <v>0</v>
      </c>
      <c r="H38" s="10">
        <f t="shared" si="17"/>
        <v>-50388</v>
      </c>
      <c r="I38" s="10">
        <f t="shared" si="17"/>
        <v>0</v>
      </c>
      <c r="J38" s="10">
        <f t="shared" ref="J38" si="18">SUM(J22:J37)</f>
        <v>117676</v>
      </c>
      <c r="K38" s="10">
        <f t="shared" si="17"/>
        <v>95131.8</v>
      </c>
      <c r="L38" s="10">
        <f t="shared" si="17"/>
        <v>95960.754000000001</v>
      </c>
      <c r="M38" s="10">
        <f t="shared" si="17"/>
        <v>96814.576620000007</v>
      </c>
      <c r="N38" s="3"/>
      <c r="O38" s="3"/>
      <c r="P38" s="3"/>
      <c r="Q38" s="3"/>
      <c r="R38" s="3"/>
    </row>
    <row r="39" spans="2:18" x14ac:dyDescent="0.25">
      <c r="B39" s="1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"/>
      <c r="O39" s="3"/>
      <c r="P39" s="3"/>
      <c r="Q39" s="3"/>
      <c r="R39" s="3"/>
    </row>
    <row r="40" spans="2:18" x14ac:dyDescent="0.25">
      <c r="B40" s="8" t="s">
        <v>44</v>
      </c>
      <c r="C40" s="13">
        <v>7000</v>
      </c>
      <c r="D40" s="10"/>
      <c r="E40" s="10"/>
      <c r="F40" s="10"/>
      <c r="G40" s="10"/>
      <c r="H40" s="13">
        <f t="shared" ref="H40" si="19">E40+F40-D40</f>
        <v>0</v>
      </c>
      <c r="I40" s="13"/>
      <c r="J40" s="13">
        <v>4000</v>
      </c>
      <c r="K40" s="13">
        <v>7000</v>
      </c>
      <c r="L40" s="13">
        <v>7000</v>
      </c>
      <c r="M40" s="13">
        <v>7000</v>
      </c>
      <c r="N40" s="3"/>
      <c r="O40" s="3"/>
      <c r="P40" s="3"/>
      <c r="Q40" s="3"/>
      <c r="R40" s="3"/>
    </row>
    <row r="41" spans="2:18" x14ac:dyDescent="0.25">
      <c r="B41" s="18" t="s">
        <v>118</v>
      </c>
      <c r="C41" s="10">
        <f>C40</f>
        <v>7000</v>
      </c>
      <c r="D41" s="10">
        <f t="shared" ref="D41:M41" si="20">D40</f>
        <v>0</v>
      </c>
      <c r="E41" s="10">
        <f t="shared" si="20"/>
        <v>0</v>
      </c>
      <c r="F41" s="10">
        <f t="shared" si="20"/>
        <v>0</v>
      </c>
      <c r="G41" s="10">
        <f t="shared" si="20"/>
        <v>0</v>
      </c>
      <c r="H41" s="10">
        <f t="shared" si="20"/>
        <v>0</v>
      </c>
      <c r="I41" s="10">
        <f t="shared" si="20"/>
        <v>0</v>
      </c>
      <c r="J41" s="10">
        <f t="shared" ref="J41" si="21">J40</f>
        <v>4000</v>
      </c>
      <c r="K41" s="10">
        <f t="shared" si="20"/>
        <v>7000</v>
      </c>
      <c r="L41" s="10">
        <f t="shared" si="20"/>
        <v>7000</v>
      </c>
      <c r="M41" s="10">
        <f t="shared" si="20"/>
        <v>7000</v>
      </c>
      <c r="N41" s="3"/>
      <c r="O41" s="3"/>
      <c r="P41" s="3"/>
      <c r="Q41" s="3"/>
      <c r="R41" s="3"/>
    </row>
    <row r="42" spans="2:18" x14ac:dyDescent="0.25">
      <c r="B42" s="1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"/>
      <c r="O42" s="3"/>
      <c r="P42" s="3"/>
      <c r="Q42" s="3"/>
      <c r="R42" s="3"/>
    </row>
    <row r="43" spans="2:18" x14ac:dyDescent="0.25">
      <c r="B43" s="8" t="s">
        <v>156</v>
      </c>
      <c r="C43" s="10"/>
      <c r="D43" s="10"/>
      <c r="E43" s="10"/>
      <c r="F43" s="10"/>
      <c r="G43" s="10"/>
      <c r="H43" s="10"/>
      <c r="I43" s="13">
        <v>220</v>
      </c>
      <c r="J43" s="10"/>
      <c r="K43" s="10"/>
      <c r="L43" s="10"/>
      <c r="M43" s="10"/>
      <c r="N43" s="3"/>
      <c r="O43" s="3"/>
      <c r="P43" s="3"/>
      <c r="Q43" s="3"/>
      <c r="R43" s="3"/>
    </row>
    <row r="44" spans="2:18" x14ac:dyDescent="0.25">
      <c r="B44" s="8" t="s">
        <v>46</v>
      </c>
      <c r="C44" s="13">
        <v>100000</v>
      </c>
      <c r="D44" s="10"/>
      <c r="E44" s="10"/>
      <c r="F44" s="10"/>
      <c r="G44" s="10"/>
      <c r="H44" s="13">
        <f t="shared" ref="H44" si="22">E44+F44-D44</f>
        <v>0</v>
      </c>
      <c r="I44" s="13"/>
      <c r="J44" s="13">
        <v>0</v>
      </c>
      <c r="K44" s="13">
        <v>100000</v>
      </c>
      <c r="L44" s="13">
        <v>100000</v>
      </c>
      <c r="M44" s="13">
        <v>100000</v>
      </c>
      <c r="N44" s="3"/>
      <c r="O44" s="3"/>
      <c r="P44" s="3"/>
      <c r="Q44" s="3"/>
      <c r="R44" s="3"/>
    </row>
    <row r="45" spans="2:18" x14ac:dyDescent="0.25">
      <c r="B45" s="18" t="s">
        <v>119</v>
      </c>
      <c r="C45" s="10">
        <f>SUM(C43:C44)</f>
        <v>100000</v>
      </c>
      <c r="D45" s="10">
        <f t="shared" ref="D45:M45" si="23">SUM(D43:D44)</f>
        <v>0</v>
      </c>
      <c r="E45" s="10">
        <f t="shared" si="23"/>
        <v>0</v>
      </c>
      <c r="F45" s="10">
        <f t="shared" si="23"/>
        <v>0</v>
      </c>
      <c r="G45" s="10">
        <f t="shared" si="23"/>
        <v>0</v>
      </c>
      <c r="H45" s="10">
        <f t="shared" si="23"/>
        <v>0</v>
      </c>
      <c r="I45" s="10">
        <f t="shared" si="23"/>
        <v>220</v>
      </c>
      <c r="J45" s="10">
        <f t="shared" si="23"/>
        <v>0</v>
      </c>
      <c r="K45" s="10">
        <f t="shared" si="23"/>
        <v>100000</v>
      </c>
      <c r="L45" s="10">
        <f t="shared" si="23"/>
        <v>100000</v>
      </c>
      <c r="M45" s="10">
        <f t="shared" si="23"/>
        <v>100000</v>
      </c>
      <c r="N45" s="3"/>
      <c r="O45" s="3"/>
      <c r="P45" s="3"/>
      <c r="Q45" s="3"/>
      <c r="R45" s="3"/>
    </row>
    <row r="46" spans="2:18" x14ac:dyDescent="0.25">
      <c r="B46" s="8"/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</row>
    <row r="47" spans="2:18" x14ac:dyDescent="0.25">
      <c r="B47" s="6" t="s">
        <v>70</v>
      </c>
      <c r="C47" s="10">
        <f>C14+C17+C20+C38+C41+C45</f>
        <v>455260</v>
      </c>
      <c r="D47" s="10">
        <f t="shared" ref="D47:M47" si="24">D14+D17+D20+D38+D41+D45</f>
        <v>199960</v>
      </c>
      <c r="E47" s="10">
        <f t="shared" si="24"/>
        <v>49442</v>
      </c>
      <c r="F47" s="10">
        <f t="shared" si="24"/>
        <v>0</v>
      </c>
      <c r="G47" s="10">
        <f t="shared" si="24"/>
        <v>0</v>
      </c>
      <c r="H47" s="10">
        <f t="shared" si="24"/>
        <v>-150518</v>
      </c>
      <c r="I47" s="10">
        <f t="shared" si="24"/>
        <v>4595</v>
      </c>
      <c r="J47" s="10">
        <f t="shared" ref="J47" si="25">J14+J17+J20+J38+J41+J45</f>
        <v>220497.5</v>
      </c>
      <c r="K47" s="10">
        <f t="shared" si="24"/>
        <v>463681.8</v>
      </c>
      <c r="L47" s="10">
        <f t="shared" si="24"/>
        <v>464510.75400000002</v>
      </c>
      <c r="M47" s="10">
        <f t="shared" si="24"/>
        <v>465364.57662000001</v>
      </c>
      <c r="N47" s="3"/>
      <c r="O47" s="3"/>
      <c r="P47" s="3"/>
      <c r="Q47" s="3"/>
      <c r="R47" s="3"/>
    </row>
    <row r="48" spans="2:18" x14ac:dyDescent="0.25">
      <c r="B48" s="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</row>
    <row r="49" spans="2:18" x14ac:dyDescent="0.25">
      <c r="B49" s="8" t="s">
        <v>156</v>
      </c>
      <c r="C49" s="13"/>
      <c r="D49" s="10"/>
      <c r="E49" s="10"/>
      <c r="F49" s="10"/>
      <c r="G49" s="10"/>
      <c r="H49" s="13"/>
      <c r="I49" s="13">
        <v>-2170</v>
      </c>
      <c r="J49" s="13"/>
      <c r="K49" s="13"/>
      <c r="L49" s="13"/>
      <c r="M49" s="13"/>
      <c r="N49" s="3"/>
      <c r="O49" s="3"/>
      <c r="P49" s="3"/>
      <c r="Q49" s="3"/>
      <c r="R49" s="3"/>
    </row>
    <row r="50" spans="2:18" x14ac:dyDescent="0.25">
      <c r="B50" s="6" t="s">
        <v>0</v>
      </c>
      <c r="C50" s="10">
        <f t="shared" ref="C50:M50" si="26">SUM(C48:C49)</f>
        <v>0</v>
      </c>
      <c r="D50" s="10">
        <f t="shared" si="26"/>
        <v>0</v>
      </c>
      <c r="E50" s="10">
        <f t="shared" si="26"/>
        <v>0</v>
      </c>
      <c r="F50" s="10">
        <f t="shared" si="26"/>
        <v>0</v>
      </c>
      <c r="G50" s="10">
        <f t="shared" si="26"/>
        <v>0</v>
      </c>
      <c r="H50" s="10">
        <f t="shared" si="26"/>
        <v>0</v>
      </c>
      <c r="I50" s="10">
        <f t="shared" si="26"/>
        <v>-2170</v>
      </c>
      <c r="J50" s="10">
        <f t="shared" si="26"/>
        <v>0</v>
      </c>
      <c r="K50" s="10">
        <f t="shared" si="26"/>
        <v>0</v>
      </c>
      <c r="L50" s="10">
        <f t="shared" si="26"/>
        <v>0</v>
      </c>
      <c r="M50" s="10">
        <f t="shared" si="26"/>
        <v>0</v>
      </c>
      <c r="N50" s="3"/>
      <c r="O50" s="3"/>
      <c r="P50" s="3"/>
      <c r="Q50" s="3"/>
      <c r="R50" s="3"/>
    </row>
    <row r="51" spans="2:18" x14ac:dyDescent="0.25"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3"/>
      <c r="O51" s="3"/>
      <c r="P51" s="3"/>
      <c r="Q51" s="3"/>
      <c r="R51" s="3"/>
    </row>
    <row r="52" spans="2:18" x14ac:dyDescent="0.25">
      <c r="B52" s="6" t="s">
        <v>73</v>
      </c>
      <c r="C52" s="10">
        <f t="shared" ref="C52:M52" si="27">C47+C50</f>
        <v>455260</v>
      </c>
      <c r="D52" s="10">
        <f t="shared" si="27"/>
        <v>199960</v>
      </c>
      <c r="E52" s="10">
        <f t="shared" si="27"/>
        <v>49442</v>
      </c>
      <c r="F52" s="10">
        <f t="shared" si="27"/>
        <v>0</v>
      </c>
      <c r="G52" s="10">
        <f t="shared" ref="G52:I52" si="28">G47+G50</f>
        <v>0</v>
      </c>
      <c r="H52" s="10">
        <f t="shared" si="28"/>
        <v>-150518</v>
      </c>
      <c r="I52" s="10">
        <f t="shared" si="28"/>
        <v>2425</v>
      </c>
      <c r="J52" s="10">
        <f t="shared" ref="J52" si="29">J47+J50</f>
        <v>220497.5</v>
      </c>
      <c r="K52" s="10">
        <f t="shared" si="27"/>
        <v>463681.8</v>
      </c>
      <c r="L52" s="10">
        <f t="shared" si="27"/>
        <v>464510.75400000002</v>
      </c>
      <c r="M52" s="10">
        <f t="shared" si="27"/>
        <v>465364.57662000001</v>
      </c>
      <c r="N52" s="3"/>
      <c r="O52" s="3"/>
      <c r="P52" s="3"/>
      <c r="Q52" s="3"/>
      <c r="R52" s="3"/>
    </row>
    <row r="54" spans="2:18" x14ac:dyDescent="0.25">
      <c r="B54" s="24"/>
    </row>
    <row r="56" spans="2:18" x14ac:dyDescent="0.25">
      <c r="B56" s="20"/>
    </row>
    <row r="57" spans="2:18" x14ac:dyDescent="0.25">
      <c r="B57" s="20"/>
    </row>
    <row r="64" spans="2:18" x14ac:dyDescent="0.25">
      <c r="B64" s="35"/>
    </row>
  </sheetData>
  <pageMargins left="0.7" right="0.7" top="0.75" bottom="0.75" header="0.3" footer="0.3"/>
  <pageSetup paperSize="9" scale="5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O48"/>
  <sheetViews>
    <sheetView topLeftCell="A4" zoomScaleNormal="100" workbookViewId="0">
      <selection activeCell="AS24" sqref="AS24"/>
    </sheetView>
  </sheetViews>
  <sheetFormatPr defaultRowHeight="15" x14ac:dyDescent="0.25"/>
  <cols>
    <col min="1" max="1" width="46" style="49" bestFit="1" customWidth="1"/>
    <col min="2" max="2" width="12.7109375" style="56" hidden="1" customWidth="1"/>
    <col min="3" max="3" width="12.5703125" style="49" hidden="1" customWidth="1"/>
    <col min="4" max="4" width="11.7109375" style="49" hidden="1" customWidth="1"/>
    <col min="5" max="5" width="15.7109375" style="51" hidden="1" customWidth="1"/>
    <col min="6" max="12" width="9.7109375" style="48" hidden="1" customWidth="1"/>
    <col min="13" max="14" width="11" style="48" hidden="1" customWidth="1"/>
    <col min="15" max="15" width="12.28515625" style="52" customWidth="1"/>
    <col min="16" max="16" width="11" style="48" hidden="1" customWidth="1"/>
    <col min="17" max="17" width="11" style="48" customWidth="1"/>
    <col min="18" max="19" width="11" style="48" hidden="1" customWidth="1"/>
    <col min="20" max="20" width="11" style="48" customWidth="1"/>
    <col min="21" max="21" width="9.7109375" style="48" hidden="1" customWidth="1"/>
    <col min="22" max="22" width="12.28515625" style="48" customWidth="1"/>
    <col min="23" max="23" width="11" style="49" hidden="1" customWidth="1"/>
    <col min="24" max="24" width="11" style="49" customWidth="1"/>
    <col min="25" max="25" width="10.28515625" style="49" hidden="1" customWidth="1"/>
    <col min="26" max="26" width="11" style="49" customWidth="1"/>
    <col min="27" max="27" width="9.7109375" style="49" hidden="1" customWidth="1"/>
    <col min="28" max="28" width="12.28515625" style="49" customWidth="1"/>
    <col min="29" max="29" width="10.42578125" style="49" hidden="1" customWidth="1"/>
    <col min="30" max="30" width="11" style="49" customWidth="1"/>
    <col min="31" max="31" width="10.7109375" style="49" hidden="1" customWidth="1"/>
    <col min="32" max="32" width="11" style="49" customWidth="1"/>
    <col min="33" max="33" width="9.140625" style="49" hidden="1" customWidth="1"/>
    <col min="34" max="34" width="12.28515625" style="49" customWidth="1"/>
    <col min="35" max="35" width="11" style="49" hidden="1" customWidth="1"/>
    <col min="36" max="36" width="11" style="49" customWidth="1"/>
    <col min="37" max="37" width="12.140625" style="49" hidden="1" customWidth="1"/>
    <col min="38" max="38" width="11" style="49" customWidth="1"/>
    <col min="39" max="39" width="9.140625" style="49" hidden="1" customWidth="1"/>
    <col min="40" max="40" width="12.28515625" style="49" customWidth="1"/>
    <col min="41" max="41" width="2.5703125" style="49" customWidth="1"/>
    <col min="42" max="263" width="9.140625" style="49"/>
    <col min="264" max="264" width="2.7109375" style="49" customWidth="1"/>
    <col min="265" max="265" width="45.5703125" style="49" customWidth="1"/>
    <col min="266" max="273" width="0" style="49" hidden="1" customWidth="1"/>
    <col min="274" max="283" width="9.7109375" style="49" customWidth="1"/>
    <col min="284" max="284" width="9.7109375" style="49" bestFit="1" customWidth="1"/>
    <col min="285" max="285" width="10.28515625" style="49" bestFit="1" customWidth="1"/>
    <col min="286" max="286" width="9.7109375" style="49" bestFit="1" customWidth="1"/>
    <col min="287" max="287" width="10.42578125" style="49" customWidth="1"/>
    <col min="288" max="288" width="10.7109375" style="49" customWidth="1"/>
    <col min="289" max="519" width="9.140625" style="49"/>
    <col min="520" max="520" width="2.7109375" style="49" customWidth="1"/>
    <col min="521" max="521" width="45.5703125" style="49" customWidth="1"/>
    <col min="522" max="529" width="0" style="49" hidden="1" customWidth="1"/>
    <col min="530" max="539" width="9.7109375" style="49" customWidth="1"/>
    <col min="540" max="540" width="9.7109375" style="49" bestFit="1" customWidth="1"/>
    <col min="541" max="541" width="10.28515625" style="49" bestFit="1" customWidth="1"/>
    <col min="542" max="542" width="9.7109375" style="49" bestFit="1" customWidth="1"/>
    <col min="543" max="543" width="10.42578125" style="49" customWidth="1"/>
    <col min="544" max="544" width="10.7109375" style="49" customWidth="1"/>
    <col min="545" max="775" width="9.140625" style="49"/>
    <col min="776" max="776" width="2.7109375" style="49" customWidth="1"/>
    <col min="777" max="777" width="45.5703125" style="49" customWidth="1"/>
    <col min="778" max="785" width="0" style="49" hidden="1" customWidth="1"/>
    <col min="786" max="795" width="9.7109375" style="49" customWidth="1"/>
    <col min="796" max="796" width="9.7109375" style="49" bestFit="1" customWidth="1"/>
    <col min="797" max="797" width="10.28515625" style="49" bestFit="1" customWidth="1"/>
    <col min="798" max="798" width="9.7109375" style="49" bestFit="1" customWidth="1"/>
    <col min="799" max="799" width="10.42578125" style="49" customWidth="1"/>
    <col min="800" max="800" width="10.7109375" style="49" customWidth="1"/>
    <col min="801" max="1031" width="9.140625" style="49"/>
    <col min="1032" max="1032" width="2.7109375" style="49" customWidth="1"/>
    <col min="1033" max="1033" width="45.5703125" style="49" customWidth="1"/>
    <col min="1034" max="1041" width="0" style="49" hidden="1" customWidth="1"/>
    <col min="1042" max="1051" width="9.7109375" style="49" customWidth="1"/>
    <col min="1052" max="1052" width="9.7109375" style="49" bestFit="1" customWidth="1"/>
    <col min="1053" max="1053" width="10.28515625" style="49" bestFit="1" customWidth="1"/>
    <col min="1054" max="1054" width="9.7109375" style="49" bestFit="1" customWidth="1"/>
    <col min="1055" max="1055" width="10.42578125" style="49" customWidth="1"/>
    <col min="1056" max="1056" width="10.7109375" style="49" customWidth="1"/>
    <col min="1057" max="1287" width="9.140625" style="49"/>
    <col min="1288" max="1288" width="2.7109375" style="49" customWidth="1"/>
    <col min="1289" max="1289" width="45.5703125" style="49" customWidth="1"/>
    <col min="1290" max="1297" width="0" style="49" hidden="1" customWidth="1"/>
    <col min="1298" max="1307" width="9.7109375" style="49" customWidth="1"/>
    <col min="1308" max="1308" width="9.7109375" style="49" bestFit="1" customWidth="1"/>
    <col min="1309" max="1309" width="10.28515625" style="49" bestFit="1" customWidth="1"/>
    <col min="1310" max="1310" width="9.7109375" style="49" bestFit="1" customWidth="1"/>
    <col min="1311" max="1311" width="10.42578125" style="49" customWidth="1"/>
    <col min="1312" max="1312" width="10.7109375" style="49" customWidth="1"/>
    <col min="1313" max="1543" width="9.140625" style="49"/>
    <col min="1544" max="1544" width="2.7109375" style="49" customWidth="1"/>
    <col min="1545" max="1545" width="45.5703125" style="49" customWidth="1"/>
    <col min="1546" max="1553" width="0" style="49" hidden="1" customWidth="1"/>
    <col min="1554" max="1563" width="9.7109375" style="49" customWidth="1"/>
    <col min="1564" max="1564" width="9.7109375" style="49" bestFit="1" customWidth="1"/>
    <col min="1565" max="1565" width="10.28515625" style="49" bestFit="1" customWidth="1"/>
    <col min="1566" max="1566" width="9.7109375" style="49" bestFit="1" customWidth="1"/>
    <col min="1567" max="1567" width="10.42578125" style="49" customWidth="1"/>
    <col min="1568" max="1568" width="10.7109375" style="49" customWidth="1"/>
    <col min="1569" max="1799" width="9.140625" style="49"/>
    <col min="1800" max="1800" width="2.7109375" style="49" customWidth="1"/>
    <col min="1801" max="1801" width="45.5703125" style="49" customWidth="1"/>
    <col min="1802" max="1809" width="0" style="49" hidden="1" customWidth="1"/>
    <col min="1810" max="1819" width="9.7109375" style="49" customWidth="1"/>
    <col min="1820" max="1820" width="9.7109375" style="49" bestFit="1" customWidth="1"/>
    <col min="1821" max="1821" width="10.28515625" style="49" bestFit="1" customWidth="1"/>
    <col min="1822" max="1822" width="9.7109375" style="49" bestFit="1" customWidth="1"/>
    <col min="1823" max="1823" width="10.42578125" style="49" customWidth="1"/>
    <col min="1824" max="1824" width="10.7109375" style="49" customWidth="1"/>
    <col min="1825" max="2055" width="9.140625" style="49"/>
    <col min="2056" max="2056" width="2.7109375" style="49" customWidth="1"/>
    <col min="2057" max="2057" width="45.5703125" style="49" customWidth="1"/>
    <col min="2058" max="2065" width="0" style="49" hidden="1" customWidth="1"/>
    <col min="2066" max="2075" width="9.7109375" style="49" customWidth="1"/>
    <col min="2076" max="2076" width="9.7109375" style="49" bestFit="1" customWidth="1"/>
    <col min="2077" max="2077" width="10.28515625" style="49" bestFit="1" customWidth="1"/>
    <col min="2078" max="2078" width="9.7109375" style="49" bestFit="1" customWidth="1"/>
    <col min="2079" max="2079" width="10.42578125" style="49" customWidth="1"/>
    <col min="2080" max="2080" width="10.7109375" style="49" customWidth="1"/>
    <col min="2081" max="2311" width="9.140625" style="49"/>
    <col min="2312" max="2312" width="2.7109375" style="49" customWidth="1"/>
    <col min="2313" max="2313" width="45.5703125" style="49" customWidth="1"/>
    <col min="2314" max="2321" width="0" style="49" hidden="1" customWidth="1"/>
    <col min="2322" max="2331" width="9.7109375" style="49" customWidth="1"/>
    <col min="2332" max="2332" width="9.7109375" style="49" bestFit="1" customWidth="1"/>
    <col min="2333" max="2333" width="10.28515625" style="49" bestFit="1" customWidth="1"/>
    <col min="2334" max="2334" width="9.7109375" style="49" bestFit="1" customWidth="1"/>
    <col min="2335" max="2335" width="10.42578125" style="49" customWidth="1"/>
    <col min="2336" max="2336" width="10.7109375" style="49" customWidth="1"/>
    <col min="2337" max="2567" width="9.140625" style="49"/>
    <col min="2568" max="2568" width="2.7109375" style="49" customWidth="1"/>
    <col min="2569" max="2569" width="45.5703125" style="49" customWidth="1"/>
    <col min="2570" max="2577" width="0" style="49" hidden="1" customWidth="1"/>
    <col min="2578" max="2587" width="9.7109375" style="49" customWidth="1"/>
    <col min="2588" max="2588" width="9.7109375" style="49" bestFit="1" customWidth="1"/>
    <col min="2589" max="2589" width="10.28515625" style="49" bestFit="1" customWidth="1"/>
    <col min="2590" max="2590" width="9.7109375" style="49" bestFit="1" customWidth="1"/>
    <col min="2591" max="2591" width="10.42578125" style="49" customWidth="1"/>
    <col min="2592" max="2592" width="10.7109375" style="49" customWidth="1"/>
    <col min="2593" max="2823" width="9.140625" style="49"/>
    <col min="2824" max="2824" width="2.7109375" style="49" customWidth="1"/>
    <col min="2825" max="2825" width="45.5703125" style="49" customWidth="1"/>
    <col min="2826" max="2833" width="0" style="49" hidden="1" customWidth="1"/>
    <col min="2834" max="2843" width="9.7109375" style="49" customWidth="1"/>
    <col min="2844" max="2844" width="9.7109375" style="49" bestFit="1" customWidth="1"/>
    <col min="2845" max="2845" width="10.28515625" style="49" bestFit="1" customWidth="1"/>
    <col min="2846" max="2846" width="9.7109375" style="49" bestFit="1" customWidth="1"/>
    <col min="2847" max="2847" width="10.42578125" style="49" customWidth="1"/>
    <col min="2848" max="2848" width="10.7109375" style="49" customWidth="1"/>
    <col min="2849" max="3079" width="9.140625" style="49"/>
    <col min="3080" max="3080" width="2.7109375" style="49" customWidth="1"/>
    <col min="3081" max="3081" width="45.5703125" style="49" customWidth="1"/>
    <col min="3082" max="3089" width="0" style="49" hidden="1" customWidth="1"/>
    <col min="3090" max="3099" width="9.7109375" style="49" customWidth="1"/>
    <col min="3100" max="3100" width="9.7109375" style="49" bestFit="1" customWidth="1"/>
    <col min="3101" max="3101" width="10.28515625" style="49" bestFit="1" customWidth="1"/>
    <col min="3102" max="3102" width="9.7109375" style="49" bestFit="1" customWidth="1"/>
    <col min="3103" max="3103" width="10.42578125" style="49" customWidth="1"/>
    <col min="3104" max="3104" width="10.7109375" style="49" customWidth="1"/>
    <col min="3105" max="3335" width="9.140625" style="49"/>
    <col min="3336" max="3336" width="2.7109375" style="49" customWidth="1"/>
    <col min="3337" max="3337" width="45.5703125" style="49" customWidth="1"/>
    <col min="3338" max="3345" width="0" style="49" hidden="1" customWidth="1"/>
    <col min="3346" max="3355" width="9.7109375" style="49" customWidth="1"/>
    <col min="3356" max="3356" width="9.7109375" style="49" bestFit="1" customWidth="1"/>
    <col min="3357" max="3357" width="10.28515625" style="49" bestFit="1" customWidth="1"/>
    <col min="3358" max="3358" width="9.7109375" style="49" bestFit="1" customWidth="1"/>
    <col min="3359" max="3359" width="10.42578125" style="49" customWidth="1"/>
    <col min="3360" max="3360" width="10.7109375" style="49" customWidth="1"/>
    <col min="3361" max="3591" width="9.140625" style="49"/>
    <col min="3592" max="3592" width="2.7109375" style="49" customWidth="1"/>
    <col min="3593" max="3593" width="45.5703125" style="49" customWidth="1"/>
    <col min="3594" max="3601" width="0" style="49" hidden="1" customWidth="1"/>
    <col min="3602" max="3611" width="9.7109375" style="49" customWidth="1"/>
    <col min="3612" max="3612" width="9.7109375" style="49" bestFit="1" customWidth="1"/>
    <col min="3613" max="3613" width="10.28515625" style="49" bestFit="1" customWidth="1"/>
    <col min="3614" max="3614" width="9.7109375" style="49" bestFit="1" customWidth="1"/>
    <col min="3615" max="3615" width="10.42578125" style="49" customWidth="1"/>
    <col min="3616" max="3616" width="10.7109375" style="49" customWidth="1"/>
    <col min="3617" max="3847" width="9.140625" style="49"/>
    <col min="3848" max="3848" width="2.7109375" style="49" customWidth="1"/>
    <col min="3849" max="3849" width="45.5703125" style="49" customWidth="1"/>
    <col min="3850" max="3857" width="0" style="49" hidden="1" customWidth="1"/>
    <col min="3858" max="3867" width="9.7109375" style="49" customWidth="1"/>
    <col min="3868" max="3868" width="9.7109375" style="49" bestFit="1" customWidth="1"/>
    <col min="3869" max="3869" width="10.28515625" style="49" bestFit="1" customWidth="1"/>
    <col min="3870" max="3870" width="9.7109375" style="49" bestFit="1" customWidth="1"/>
    <col min="3871" max="3871" width="10.42578125" style="49" customWidth="1"/>
    <col min="3872" max="3872" width="10.7109375" style="49" customWidth="1"/>
    <col min="3873" max="4103" width="9.140625" style="49"/>
    <col min="4104" max="4104" width="2.7109375" style="49" customWidth="1"/>
    <col min="4105" max="4105" width="45.5703125" style="49" customWidth="1"/>
    <col min="4106" max="4113" width="0" style="49" hidden="1" customWidth="1"/>
    <col min="4114" max="4123" width="9.7109375" style="49" customWidth="1"/>
    <col min="4124" max="4124" width="9.7109375" style="49" bestFit="1" customWidth="1"/>
    <col min="4125" max="4125" width="10.28515625" style="49" bestFit="1" customWidth="1"/>
    <col min="4126" max="4126" width="9.7109375" style="49" bestFit="1" customWidth="1"/>
    <col min="4127" max="4127" width="10.42578125" style="49" customWidth="1"/>
    <col min="4128" max="4128" width="10.7109375" style="49" customWidth="1"/>
    <col min="4129" max="4359" width="9.140625" style="49"/>
    <col min="4360" max="4360" width="2.7109375" style="49" customWidth="1"/>
    <col min="4361" max="4361" width="45.5703125" style="49" customWidth="1"/>
    <col min="4362" max="4369" width="0" style="49" hidden="1" customWidth="1"/>
    <col min="4370" max="4379" width="9.7109375" style="49" customWidth="1"/>
    <col min="4380" max="4380" width="9.7109375" style="49" bestFit="1" customWidth="1"/>
    <col min="4381" max="4381" width="10.28515625" style="49" bestFit="1" customWidth="1"/>
    <col min="4382" max="4382" width="9.7109375" style="49" bestFit="1" customWidth="1"/>
    <col min="4383" max="4383" width="10.42578125" style="49" customWidth="1"/>
    <col min="4384" max="4384" width="10.7109375" style="49" customWidth="1"/>
    <col min="4385" max="4615" width="9.140625" style="49"/>
    <col min="4616" max="4616" width="2.7109375" style="49" customWidth="1"/>
    <col min="4617" max="4617" width="45.5703125" style="49" customWidth="1"/>
    <col min="4618" max="4625" width="0" style="49" hidden="1" customWidth="1"/>
    <col min="4626" max="4635" width="9.7109375" style="49" customWidth="1"/>
    <col min="4636" max="4636" width="9.7109375" style="49" bestFit="1" customWidth="1"/>
    <col min="4637" max="4637" width="10.28515625" style="49" bestFit="1" customWidth="1"/>
    <col min="4638" max="4638" width="9.7109375" style="49" bestFit="1" customWidth="1"/>
    <col min="4639" max="4639" width="10.42578125" style="49" customWidth="1"/>
    <col min="4640" max="4640" width="10.7109375" style="49" customWidth="1"/>
    <col min="4641" max="4871" width="9.140625" style="49"/>
    <col min="4872" max="4872" width="2.7109375" style="49" customWidth="1"/>
    <col min="4873" max="4873" width="45.5703125" style="49" customWidth="1"/>
    <col min="4874" max="4881" width="0" style="49" hidden="1" customWidth="1"/>
    <col min="4882" max="4891" width="9.7109375" style="49" customWidth="1"/>
    <col min="4892" max="4892" width="9.7109375" style="49" bestFit="1" customWidth="1"/>
    <col min="4893" max="4893" width="10.28515625" style="49" bestFit="1" customWidth="1"/>
    <col min="4894" max="4894" width="9.7109375" style="49" bestFit="1" customWidth="1"/>
    <col min="4895" max="4895" width="10.42578125" style="49" customWidth="1"/>
    <col min="4896" max="4896" width="10.7109375" style="49" customWidth="1"/>
    <col min="4897" max="5127" width="9.140625" style="49"/>
    <col min="5128" max="5128" width="2.7109375" style="49" customWidth="1"/>
    <col min="5129" max="5129" width="45.5703125" style="49" customWidth="1"/>
    <col min="5130" max="5137" width="0" style="49" hidden="1" customWidth="1"/>
    <col min="5138" max="5147" width="9.7109375" style="49" customWidth="1"/>
    <col min="5148" max="5148" width="9.7109375" style="49" bestFit="1" customWidth="1"/>
    <col min="5149" max="5149" width="10.28515625" style="49" bestFit="1" customWidth="1"/>
    <col min="5150" max="5150" width="9.7109375" style="49" bestFit="1" customWidth="1"/>
    <col min="5151" max="5151" width="10.42578125" style="49" customWidth="1"/>
    <col min="5152" max="5152" width="10.7109375" style="49" customWidth="1"/>
    <col min="5153" max="5383" width="9.140625" style="49"/>
    <col min="5384" max="5384" width="2.7109375" style="49" customWidth="1"/>
    <col min="5385" max="5385" width="45.5703125" style="49" customWidth="1"/>
    <col min="5386" max="5393" width="0" style="49" hidden="1" customWidth="1"/>
    <col min="5394" max="5403" width="9.7109375" style="49" customWidth="1"/>
    <col min="5404" max="5404" width="9.7109375" style="49" bestFit="1" customWidth="1"/>
    <col min="5405" max="5405" width="10.28515625" style="49" bestFit="1" customWidth="1"/>
    <col min="5406" max="5406" width="9.7109375" style="49" bestFit="1" customWidth="1"/>
    <col min="5407" max="5407" width="10.42578125" style="49" customWidth="1"/>
    <col min="5408" max="5408" width="10.7109375" style="49" customWidth="1"/>
    <col min="5409" max="5639" width="9.140625" style="49"/>
    <col min="5640" max="5640" width="2.7109375" style="49" customWidth="1"/>
    <col min="5641" max="5641" width="45.5703125" style="49" customWidth="1"/>
    <col min="5642" max="5649" width="0" style="49" hidden="1" customWidth="1"/>
    <col min="5650" max="5659" width="9.7109375" style="49" customWidth="1"/>
    <col min="5660" max="5660" width="9.7109375" style="49" bestFit="1" customWidth="1"/>
    <col min="5661" max="5661" width="10.28515625" style="49" bestFit="1" customWidth="1"/>
    <col min="5662" max="5662" width="9.7109375" style="49" bestFit="1" customWidth="1"/>
    <col min="5663" max="5663" width="10.42578125" style="49" customWidth="1"/>
    <col min="5664" max="5664" width="10.7109375" style="49" customWidth="1"/>
    <col min="5665" max="5895" width="9.140625" style="49"/>
    <col min="5896" max="5896" width="2.7109375" style="49" customWidth="1"/>
    <col min="5897" max="5897" width="45.5703125" style="49" customWidth="1"/>
    <col min="5898" max="5905" width="0" style="49" hidden="1" customWidth="1"/>
    <col min="5906" max="5915" width="9.7109375" style="49" customWidth="1"/>
    <col min="5916" max="5916" width="9.7109375" style="49" bestFit="1" customWidth="1"/>
    <col min="5917" max="5917" width="10.28515625" style="49" bestFit="1" customWidth="1"/>
    <col min="5918" max="5918" width="9.7109375" style="49" bestFit="1" customWidth="1"/>
    <col min="5919" max="5919" width="10.42578125" style="49" customWidth="1"/>
    <col min="5920" max="5920" width="10.7109375" style="49" customWidth="1"/>
    <col min="5921" max="6151" width="9.140625" style="49"/>
    <col min="6152" max="6152" width="2.7109375" style="49" customWidth="1"/>
    <col min="6153" max="6153" width="45.5703125" style="49" customWidth="1"/>
    <col min="6154" max="6161" width="0" style="49" hidden="1" customWidth="1"/>
    <col min="6162" max="6171" width="9.7109375" style="49" customWidth="1"/>
    <col min="6172" max="6172" width="9.7109375" style="49" bestFit="1" customWidth="1"/>
    <col min="6173" max="6173" width="10.28515625" style="49" bestFit="1" customWidth="1"/>
    <col min="6174" max="6174" width="9.7109375" style="49" bestFit="1" customWidth="1"/>
    <col min="6175" max="6175" width="10.42578125" style="49" customWidth="1"/>
    <col min="6176" max="6176" width="10.7109375" style="49" customWidth="1"/>
    <col min="6177" max="6407" width="9.140625" style="49"/>
    <col min="6408" max="6408" width="2.7109375" style="49" customWidth="1"/>
    <col min="6409" max="6409" width="45.5703125" style="49" customWidth="1"/>
    <col min="6410" max="6417" width="0" style="49" hidden="1" customWidth="1"/>
    <col min="6418" max="6427" width="9.7109375" style="49" customWidth="1"/>
    <col min="6428" max="6428" width="9.7109375" style="49" bestFit="1" customWidth="1"/>
    <col min="6429" max="6429" width="10.28515625" style="49" bestFit="1" customWidth="1"/>
    <col min="6430" max="6430" width="9.7109375" style="49" bestFit="1" customWidth="1"/>
    <col min="6431" max="6431" width="10.42578125" style="49" customWidth="1"/>
    <col min="6432" max="6432" width="10.7109375" style="49" customWidth="1"/>
    <col min="6433" max="6663" width="9.140625" style="49"/>
    <col min="6664" max="6664" width="2.7109375" style="49" customWidth="1"/>
    <col min="6665" max="6665" width="45.5703125" style="49" customWidth="1"/>
    <col min="6666" max="6673" width="0" style="49" hidden="1" customWidth="1"/>
    <col min="6674" max="6683" width="9.7109375" style="49" customWidth="1"/>
    <col min="6684" max="6684" width="9.7109375" style="49" bestFit="1" customWidth="1"/>
    <col min="6685" max="6685" width="10.28515625" style="49" bestFit="1" customWidth="1"/>
    <col min="6686" max="6686" width="9.7109375" style="49" bestFit="1" customWidth="1"/>
    <col min="6687" max="6687" width="10.42578125" style="49" customWidth="1"/>
    <col min="6688" max="6688" width="10.7109375" style="49" customWidth="1"/>
    <col min="6689" max="6919" width="9.140625" style="49"/>
    <col min="6920" max="6920" width="2.7109375" style="49" customWidth="1"/>
    <col min="6921" max="6921" width="45.5703125" style="49" customWidth="1"/>
    <col min="6922" max="6929" width="0" style="49" hidden="1" customWidth="1"/>
    <col min="6930" max="6939" width="9.7109375" style="49" customWidth="1"/>
    <col min="6940" max="6940" width="9.7109375" style="49" bestFit="1" customWidth="1"/>
    <col min="6941" max="6941" width="10.28515625" style="49" bestFit="1" customWidth="1"/>
    <col min="6942" max="6942" width="9.7109375" style="49" bestFit="1" customWidth="1"/>
    <col min="6943" max="6943" width="10.42578125" style="49" customWidth="1"/>
    <col min="6944" max="6944" width="10.7109375" style="49" customWidth="1"/>
    <col min="6945" max="7175" width="9.140625" style="49"/>
    <col min="7176" max="7176" width="2.7109375" style="49" customWidth="1"/>
    <col min="7177" max="7177" width="45.5703125" style="49" customWidth="1"/>
    <col min="7178" max="7185" width="0" style="49" hidden="1" customWidth="1"/>
    <col min="7186" max="7195" width="9.7109375" style="49" customWidth="1"/>
    <col min="7196" max="7196" width="9.7109375" style="49" bestFit="1" customWidth="1"/>
    <col min="7197" max="7197" width="10.28515625" style="49" bestFit="1" customWidth="1"/>
    <col min="7198" max="7198" width="9.7109375" style="49" bestFit="1" customWidth="1"/>
    <col min="7199" max="7199" width="10.42578125" style="49" customWidth="1"/>
    <col min="7200" max="7200" width="10.7109375" style="49" customWidth="1"/>
    <col min="7201" max="7431" width="9.140625" style="49"/>
    <col min="7432" max="7432" width="2.7109375" style="49" customWidth="1"/>
    <col min="7433" max="7433" width="45.5703125" style="49" customWidth="1"/>
    <col min="7434" max="7441" width="0" style="49" hidden="1" customWidth="1"/>
    <col min="7442" max="7451" width="9.7109375" style="49" customWidth="1"/>
    <col min="7452" max="7452" width="9.7109375" style="49" bestFit="1" customWidth="1"/>
    <col min="7453" max="7453" width="10.28515625" style="49" bestFit="1" customWidth="1"/>
    <col min="7454" max="7454" width="9.7109375" style="49" bestFit="1" customWidth="1"/>
    <col min="7455" max="7455" width="10.42578125" style="49" customWidth="1"/>
    <col min="7456" max="7456" width="10.7109375" style="49" customWidth="1"/>
    <col min="7457" max="7687" width="9.140625" style="49"/>
    <col min="7688" max="7688" width="2.7109375" style="49" customWidth="1"/>
    <col min="7689" max="7689" width="45.5703125" style="49" customWidth="1"/>
    <col min="7690" max="7697" width="0" style="49" hidden="1" customWidth="1"/>
    <col min="7698" max="7707" width="9.7109375" style="49" customWidth="1"/>
    <col min="7708" max="7708" width="9.7109375" style="49" bestFit="1" customWidth="1"/>
    <col min="7709" max="7709" width="10.28515625" style="49" bestFit="1" customWidth="1"/>
    <col min="7710" max="7710" width="9.7109375" style="49" bestFit="1" customWidth="1"/>
    <col min="7711" max="7711" width="10.42578125" style="49" customWidth="1"/>
    <col min="7712" max="7712" width="10.7109375" style="49" customWidth="1"/>
    <col min="7713" max="7943" width="9.140625" style="49"/>
    <col min="7944" max="7944" width="2.7109375" style="49" customWidth="1"/>
    <col min="7945" max="7945" width="45.5703125" style="49" customWidth="1"/>
    <col min="7946" max="7953" width="0" style="49" hidden="1" customWidth="1"/>
    <col min="7954" max="7963" width="9.7109375" style="49" customWidth="1"/>
    <col min="7964" max="7964" width="9.7109375" style="49" bestFit="1" customWidth="1"/>
    <col min="7965" max="7965" width="10.28515625" style="49" bestFit="1" customWidth="1"/>
    <col min="7966" max="7966" width="9.7109375" style="49" bestFit="1" customWidth="1"/>
    <col min="7967" max="7967" width="10.42578125" style="49" customWidth="1"/>
    <col min="7968" max="7968" width="10.7109375" style="49" customWidth="1"/>
    <col min="7969" max="8199" width="9.140625" style="49"/>
    <col min="8200" max="8200" width="2.7109375" style="49" customWidth="1"/>
    <col min="8201" max="8201" width="45.5703125" style="49" customWidth="1"/>
    <col min="8202" max="8209" width="0" style="49" hidden="1" customWidth="1"/>
    <col min="8210" max="8219" width="9.7109375" style="49" customWidth="1"/>
    <col min="8220" max="8220" width="9.7109375" style="49" bestFit="1" customWidth="1"/>
    <col min="8221" max="8221" width="10.28515625" style="49" bestFit="1" customWidth="1"/>
    <col min="8222" max="8222" width="9.7109375" style="49" bestFit="1" customWidth="1"/>
    <col min="8223" max="8223" width="10.42578125" style="49" customWidth="1"/>
    <col min="8224" max="8224" width="10.7109375" style="49" customWidth="1"/>
    <col min="8225" max="8455" width="9.140625" style="49"/>
    <col min="8456" max="8456" width="2.7109375" style="49" customWidth="1"/>
    <col min="8457" max="8457" width="45.5703125" style="49" customWidth="1"/>
    <col min="8458" max="8465" width="0" style="49" hidden="1" customWidth="1"/>
    <col min="8466" max="8475" width="9.7109375" style="49" customWidth="1"/>
    <col min="8476" max="8476" width="9.7109375" style="49" bestFit="1" customWidth="1"/>
    <col min="8477" max="8477" width="10.28515625" style="49" bestFit="1" customWidth="1"/>
    <col min="8478" max="8478" width="9.7109375" style="49" bestFit="1" customWidth="1"/>
    <col min="8479" max="8479" width="10.42578125" style="49" customWidth="1"/>
    <col min="8480" max="8480" width="10.7109375" style="49" customWidth="1"/>
    <col min="8481" max="8711" width="9.140625" style="49"/>
    <col min="8712" max="8712" width="2.7109375" style="49" customWidth="1"/>
    <col min="8713" max="8713" width="45.5703125" style="49" customWidth="1"/>
    <col min="8714" max="8721" width="0" style="49" hidden="1" customWidth="1"/>
    <col min="8722" max="8731" width="9.7109375" style="49" customWidth="1"/>
    <col min="8732" max="8732" width="9.7109375" style="49" bestFit="1" customWidth="1"/>
    <col min="8733" max="8733" width="10.28515625" style="49" bestFit="1" customWidth="1"/>
    <col min="8734" max="8734" width="9.7109375" style="49" bestFit="1" customWidth="1"/>
    <col min="8735" max="8735" width="10.42578125" style="49" customWidth="1"/>
    <col min="8736" max="8736" width="10.7109375" style="49" customWidth="1"/>
    <col min="8737" max="8967" width="9.140625" style="49"/>
    <col min="8968" max="8968" width="2.7109375" style="49" customWidth="1"/>
    <col min="8969" max="8969" width="45.5703125" style="49" customWidth="1"/>
    <col min="8970" max="8977" width="0" style="49" hidden="1" customWidth="1"/>
    <col min="8978" max="8987" width="9.7109375" style="49" customWidth="1"/>
    <col min="8988" max="8988" width="9.7109375" style="49" bestFit="1" customWidth="1"/>
    <col min="8989" max="8989" width="10.28515625" style="49" bestFit="1" customWidth="1"/>
    <col min="8990" max="8990" width="9.7109375" style="49" bestFit="1" customWidth="1"/>
    <col min="8991" max="8991" width="10.42578125" style="49" customWidth="1"/>
    <col min="8992" max="8992" width="10.7109375" style="49" customWidth="1"/>
    <col min="8993" max="9223" width="9.140625" style="49"/>
    <col min="9224" max="9224" width="2.7109375" style="49" customWidth="1"/>
    <col min="9225" max="9225" width="45.5703125" style="49" customWidth="1"/>
    <col min="9226" max="9233" width="0" style="49" hidden="1" customWidth="1"/>
    <col min="9234" max="9243" width="9.7109375" style="49" customWidth="1"/>
    <col min="9244" max="9244" width="9.7109375" style="49" bestFit="1" customWidth="1"/>
    <col min="9245" max="9245" width="10.28515625" style="49" bestFit="1" customWidth="1"/>
    <col min="9246" max="9246" width="9.7109375" style="49" bestFit="1" customWidth="1"/>
    <col min="9247" max="9247" width="10.42578125" style="49" customWidth="1"/>
    <col min="9248" max="9248" width="10.7109375" style="49" customWidth="1"/>
    <col min="9249" max="9479" width="9.140625" style="49"/>
    <col min="9480" max="9480" width="2.7109375" style="49" customWidth="1"/>
    <col min="9481" max="9481" width="45.5703125" style="49" customWidth="1"/>
    <col min="9482" max="9489" width="0" style="49" hidden="1" customWidth="1"/>
    <col min="9490" max="9499" width="9.7109375" style="49" customWidth="1"/>
    <col min="9500" max="9500" width="9.7109375" style="49" bestFit="1" customWidth="1"/>
    <col min="9501" max="9501" width="10.28515625" style="49" bestFit="1" customWidth="1"/>
    <col min="9502" max="9502" width="9.7109375" style="49" bestFit="1" customWidth="1"/>
    <col min="9503" max="9503" width="10.42578125" style="49" customWidth="1"/>
    <col min="9504" max="9504" width="10.7109375" style="49" customWidth="1"/>
    <col min="9505" max="9735" width="9.140625" style="49"/>
    <col min="9736" max="9736" width="2.7109375" style="49" customWidth="1"/>
    <col min="9737" max="9737" width="45.5703125" style="49" customWidth="1"/>
    <col min="9738" max="9745" width="0" style="49" hidden="1" customWidth="1"/>
    <col min="9746" max="9755" width="9.7109375" style="49" customWidth="1"/>
    <col min="9756" max="9756" width="9.7109375" style="49" bestFit="1" customWidth="1"/>
    <col min="9757" max="9757" width="10.28515625" style="49" bestFit="1" customWidth="1"/>
    <col min="9758" max="9758" width="9.7109375" style="49" bestFit="1" customWidth="1"/>
    <col min="9759" max="9759" width="10.42578125" style="49" customWidth="1"/>
    <col min="9760" max="9760" width="10.7109375" style="49" customWidth="1"/>
    <col min="9761" max="9991" width="9.140625" style="49"/>
    <col min="9992" max="9992" width="2.7109375" style="49" customWidth="1"/>
    <col min="9993" max="9993" width="45.5703125" style="49" customWidth="1"/>
    <col min="9994" max="10001" width="0" style="49" hidden="1" customWidth="1"/>
    <col min="10002" max="10011" width="9.7109375" style="49" customWidth="1"/>
    <col min="10012" max="10012" width="9.7109375" style="49" bestFit="1" customWidth="1"/>
    <col min="10013" max="10013" width="10.28515625" style="49" bestFit="1" customWidth="1"/>
    <col min="10014" max="10014" width="9.7109375" style="49" bestFit="1" customWidth="1"/>
    <col min="10015" max="10015" width="10.42578125" style="49" customWidth="1"/>
    <col min="10016" max="10016" width="10.7109375" style="49" customWidth="1"/>
    <col min="10017" max="10247" width="9.140625" style="49"/>
    <col min="10248" max="10248" width="2.7109375" style="49" customWidth="1"/>
    <col min="10249" max="10249" width="45.5703125" style="49" customWidth="1"/>
    <col min="10250" max="10257" width="0" style="49" hidden="1" customWidth="1"/>
    <col min="10258" max="10267" width="9.7109375" style="49" customWidth="1"/>
    <col min="10268" max="10268" width="9.7109375" style="49" bestFit="1" customWidth="1"/>
    <col min="10269" max="10269" width="10.28515625" style="49" bestFit="1" customWidth="1"/>
    <col min="10270" max="10270" width="9.7109375" style="49" bestFit="1" customWidth="1"/>
    <col min="10271" max="10271" width="10.42578125" style="49" customWidth="1"/>
    <col min="10272" max="10272" width="10.7109375" style="49" customWidth="1"/>
    <col min="10273" max="10503" width="9.140625" style="49"/>
    <col min="10504" max="10504" width="2.7109375" style="49" customWidth="1"/>
    <col min="10505" max="10505" width="45.5703125" style="49" customWidth="1"/>
    <col min="10506" max="10513" width="0" style="49" hidden="1" customWidth="1"/>
    <col min="10514" max="10523" width="9.7109375" style="49" customWidth="1"/>
    <col min="10524" max="10524" width="9.7109375" style="49" bestFit="1" customWidth="1"/>
    <col min="10525" max="10525" width="10.28515625" style="49" bestFit="1" customWidth="1"/>
    <col min="10526" max="10526" width="9.7109375" style="49" bestFit="1" customWidth="1"/>
    <col min="10527" max="10527" width="10.42578125" style="49" customWidth="1"/>
    <col min="10528" max="10528" width="10.7109375" style="49" customWidth="1"/>
    <col min="10529" max="10759" width="9.140625" style="49"/>
    <col min="10760" max="10760" width="2.7109375" style="49" customWidth="1"/>
    <col min="10761" max="10761" width="45.5703125" style="49" customWidth="1"/>
    <col min="10762" max="10769" width="0" style="49" hidden="1" customWidth="1"/>
    <col min="10770" max="10779" width="9.7109375" style="49" customWidth="1"/>
    <col min="10780" max="10780" width="9.7109375" style="49" bestFit="1" customWidth="1"/>
    <col min="10781" max="10781" width="10.28515625" style="49" bestFit="1" customWidth="1"/>
    <col min="10782" max="10782" width="9.7109375" style="49" bestFit="1" customWidth="1"/>
    <col min="10783" max="10783" width="10.42578125" style="49" customWidth="1"/>
    <col min="10784" max="10784" width="10.7109375" style="49" customWidth="1"/>
    <col min="10785" max="11015" width="9.140625" style="49"/>
    <col min="11016" max="11016" width="2.7109375" style="49" customWidth="1"/>
    <col min="11017" max="11017" width="45.5703125" style="49" customWidth="1"/>
    <col min="11018" max="11025" width="0" style="49" hidden="1" customWidth="1"/>
    <col min="11026" max="11035" width="9.7109375" style="49" customWidth="1"/>
    <col min="11036" max="11036" width="9.7109375" style="49" bestFit="1" customWidth="1"/>
    <col min="11037" max="11037" width="10.28515625" style="49" bestFit="1" customWidth="1"/>
    <col min="11038" max="11038" width="9.7109375" style="49" bestFit="1" customWidth="1"/>
    <col min="11039" max="11039" width="10.42578125" style="49" customWidth="1"/>
    <col min="11040" max="11040" width="10.7109375" style="49" customWidth="1"/>
    <col min="11041" max="11271" width="9.140625" style="49"/>
    <col min="11272" max="11272" width="2.7109375" style="49" customWidth="1"/>
    <col min="11273" max="11273" width="45.5703125" style="49" customWidth="1"/>
    <col min="11274" max="11281" width="0" style="49" hidden="1" customWidth="1"/>
    <col min="11282" max="11291" width="9.7109375" style="49" customWidth="1"/>
    <col min="11292" max="11292" width="9.7109375" style="49" bestFit="1" customWidth="1"/>
    <col min="11293" max="11293" width="10.28515625" style="49" bestFit="1" customWidth="1"/>
    <col min="11294" max="11294" width="9.7109375" style="49" bestFit="1" customWidth="1"/>
    <col min="11295" max="11295" width="10.42578125" style="49" customWidth="1"/>
    <col min="11296" max="11296" width="10.7109375" style="49" customWidth="1"/>
    <col min="11297" max="11527" width="9.140625" style="49"/>
    <col min="11528" max="11528" width="2.7109375" style="49" customWidth="1"/>
    <col min="11529" max="11529" width="45.5703125" style="49" customWidth="1"/>
    <col min="11530" max="11537" width="0" style="49" hidden="1" customWidth="1"/>
    <col min="11538" max="11547" width="9.7109375" style="49" customWidth="1"/>
    <col min="11548" max="11548" width="9.7109375" style="49" bestFit="1" customWidth="1"/>
    <col min="11549" max="11549" width="10.28515625" style="49" bestFit="1" customWidth="1"/>
    <col min="11550" max="11550" width="9.7109375" style="49" bestFit="1" customWidth="1"/>
    <col min="11551" max="11551" width="10.42578125" style="49" customWidth="1"/>
    <col min="11552" max="11552" width="10.7109375" style="49" customWidth="1"/>
    <col min="11553" max="11783" width="9.140625" style="49"/>
    <col min="11784" max="11784" width="2.7109375" style="49" customWidth="1"/>
    <col min="11785" max="11785" width="45.5703125" style="49" customWidth="1"/>
    <col min="11786" max="11793" width="0" style="49" hidden="1" customWidth="1"/>
    <col min="11794" max="11803" width="9.7109375" style="49" customWidth="1"/>
    <col min="11804" max="11804" width="9.7109375" style="49" bestFit="1" customWidth="1"/>
    <col min="11805" max="11805" width="10.28515625" style="49" bestFit="1" customWidth="1"/>
    <col min="11806" max="11806" width="9.7109375" style="49" bestFit="1" customWidth="1"/>
    <col min="11807" max="11807" width="10.42578125" style="49" customWidth="1"/>
    <col min="11808" max="11808" width="10.7109375" style="49" customWidth="1"/>
    <col min="11809" max="12039" width="9.140625" style="49"/>
    <col min="12040" max="12040" width="2.7109375" style="49" customWidth="1"/>
    <col min="12041" max="12041" width="45.5703125" style="49" customWidth="1"/>
    <col min="12042" max="12049" width="0" style="49" hidden="1" customWidth="1"/>
    <col min="12050" max="12059" width="9.7109375" style="49" customWidth="1"/>
    <col min="12060" max="12060" width="9.7109375" style="49" bestFit="1" customWidth="1"/>
    <col min="12061" max="12061" width="10.28515625" style="49" bestFit="1" customWidth="1"/>
    <col min="12062" max="12062" width="9.7109375" style="49" bestFit="1" customWidth="1"/>
    <col min="12063" max="12063" width="10.42578125" style="49" customWidth="1"/>
    <col min="12064" max="12064" width="10.7109375" style="49" customWidth="1"/>
    <col min="12065" max="12295" width="9.140625" style="49"/>
    <col min="12296" max="12296" width="2.7109375" style="49" customWidth="1"/>
    <col min="12297" max="12297" width="45.5703125" style="49" customWidth="1"/>
    <col min="12298" max="12305" width="0" style="49" hidden="1" customWidth="1"/>
    <col min="12306" max="12315" width="9.7109375" style="49" customWidth="1"/>
    <col min="12316" max="12316" width="9.7109375" style="49" bestFit="1" customWidth="1"/>
    <col min="12317" max="12317" width="10.28515625" style="49" bestFit="1" customWidth="1"/>
    <col min="12318" max="12318" width="9.7109375" style="49" bestFit="1" customWidth="1"/>
    <col min="12319" max="12319" width="10.42578125" style="49" customWidth="1"/>
    <col min="12320" max="12320" width="10.7109375" style="49" customWidth="1"/>
    <col min="12321" max="12551" width="9.140625" style="49"/>
    <col min="12552" max="12552" width="2.7109375" style="49" customWidth="1"/>
    <col min="12553" max="12553" width="45.5703125" style="49" customWidth="1"/>
    <col min="12554" max="12561" width="0" style="49" hidden="1" customWidth="1"/>
    <col min="12562" max="12571" width="9.7109375" style="49" customWidth="1"/>
    <col min="12572" max="12572" width="9.7109375" style="49" bestFit="1" customWidth="1"/>
    <col min="12573" max="12573" width="10.28515625" style="49" bestFit="1" customWidth="1"/>
    <col min="12574" max="12574" width="9.7109375" style="49" bestFit="1" customWidth="1"/>
    <col min="12575" max="12575" width="10.42578125" style="49" customWidth="1"/>
    <col min="12576" max="12576" width="10.7109375" style="49" customWidth="1"/>
    <col min="12577" max="12807" width="9.140625" style="49"/>
    <col min="12808" max="12808" width="2.7109375" style="49" customWidth="1"/>
    <col min="12809" max="12809" width="45.5703125" style="49" customWidth="1"/>
    <col min="12810" max="12817" width="0" style="49" hidden="1" customWidth="1"/>
    <col min="12818" max="12827" width="9.7109375" style="49" customWidth="1"/>
    <col min="12828" max="12828" width="9.7109375" style="49" bestFit="1" customWidth="1"/>
    <col min="12829" max="12829" width="10.28515625" style="49" bestFit="1" customWidth="1"/>
    <col min="12830" max="12830" width="9.7109375" style="49" bestFit="1" customWidth="1"/>
    <col min="12831" max="12831" width="10.42578125" style="49" customWidth="1"/>
    <col min="12832" max="12832" width="10.7109375" style="49" customWidth="1"/>
    <col min="12833" max="13063" width="9.140625" style="49"/>
    <col min="13064" max="13064" width="2.7109375" style="49" customWidth="1"/>
    <col min="13065" max="13065" width="45.5703125" style="49" customWidth="1"/>
    <col min="13066" max="13073" width="0" style="49" hidden="1" customWidth="1"/>
    <col min="13074" max="13083" width="9.7109375" style="49" customWidth="1"/>
    <col min="13084" max="13084" width="9.7109375" style="49" bestFit="1" customWidth="1"/>
    <col min="13085" max="13085" width="10.28515625" style="49" bestFit="1" customWidth="1"/>
    <col min="13086" max="13086" width="9.7109375" style="49" bestFit="1" customWidth="1"/>
    <col min="13087" max="13087" width="10.42578125" style="49" customWidth="1"/>
    <col min="13088" max="13088" width="10.7109375" style="49" customWidth="1"/>
    <col min="13089" max="13319" width="9.140625" style="49"/>
    <col min="13320" max="13320" width="2.7109375" style="49" customWidth="1"/>
    <col min="13321" max="13321" width="45.5703125" style="49" customWidth="1"/>
    <col min="13322" max="13329" width="0" style="49" hidden="1" customWidth="1"/>
    <col min="13330" max="13339" width="9.7109375" style="49" customWidth="1"/>
    <col min="13340" max="13340" width="9.7109375" style="49" bestFit="1" customWidth="1"/>
    <col min="13341" max="13341" width="10.28515625" style="49" bestFit="1" customWidth="1"/>
    <col min="13342" max="13342" width="9.7109375" style="49" bestFit="1" customWidth="1"/>
    <col min="13343" max="13343" width="10.42578125" style="49" customWidth="1"/>
    <col min="13344" max="13344" width="10.7109375" style="49" customWidth="1"/>
    <col min="13345" max="13575" width="9.140625" style="49"/>
    <col min="13576" max="13576" width="2.7109375" style="49" customWidth="1"/>
    <col min="13577" max="13577" width="45.5703125" style="49" customWidth="1"/>
    <col min="13578" max="13585" width="0" style="49" hidden="1" customWidth="1"/>
    <col min="13586" max="13595" width="9.7109375" style="49" customWidth="1"/>
    <col min="13596" max="13596" width="9.7109375" style="49" bestFit="1" customWidth="1"/>
    <col min="13597" max="13597" width="10.28515625" style="49" bestFit="1" customWidth="1"/>
    <col min="13598" max="13598" width="9.7109375" style="49" bestFit="1" customWidth="1"/>
    <col min="13599" max="13599" width="10.42578125" style="49" customWidth="1"/>
    <col min="13600" max="13600" width="10.7109375" style="49" customWidth="1"/>
    <col min="13601" max="13831" width="9.140625" style="49"/>
    <col min="13832" max="13832" width="2.7109375" style="49" customWidth="1"/>
    <col min="13833" max="13833" width="45.5703125" style="49" customWidth="1"/>
    <col min="13834" max="13841" width="0" style="49" hidden="1" customWidth="1"/>
    <col min="13842" max="13851" width="9.7109375" style="49" customWidth="1"/>
    <col min="13852" max="13852" width="9.7109375" style="49" bestFit="1" customWidth="1"/>
    <col min="13853" max="13853" width="10.28515625" style="49" bestFit="1" customWidth="1"/>
    <col min="13854" max="13854" width="9.7109375" style="49" bestFit="1" customWidth="1"/>
    <col min="13855" max="13855" width="10.42578125" style="49" customWidth="1"/>
    <col min="13856" max="13856" width="10.7109375" style="49" customWidth="1"/>
    <col min="13857" max="14087" width="9.140625" style="49"/>
    <col min="14088" max="14088" width="2.7109375" style="49" customWidth="1"/>
    <col min="14089" max="14089" width="45.5703125" style="49" customWidth="1"/>
    <col min="14090" max="14097" width="0" style="49" hidden="1" customWidth="1"/>
    <col min="14098" max="14107" width="9.7109375" style="49" customWidth="1"/>
    <col min="14108" max="14108" width="9.7109375" style="49" bestFit="1" customWidth="1"/>
    <col min="14109" max="14109" width="10.28515625" style="49" bestFit="1" customWidth="1"/>
    <col min="14110" max="14110" width="9.7109375" style="49" bestFit="1" customWidth="1"/>
    <col min="14111" max="14111" width="10.42578125" style="49" customWidth="1"/>
    <col min="14112" max="14112" width="10.7109375" style="49" customWidth="1"/>
    <col min="14113" max="14343" width="9.140625" style="49"/>
    <col min="14344" max="14344" width="2.7109375" style="49" customWidth="1"/>
    <col min="14345" max="14345" width="45.5703125" style="49" customWidth="1"/>
    <col min="14346" max="14353" width="0" style="49" hidden="1" customWidth="1"/>
    <col min="14354" max="14363" width="9.7109375" style="49" customWidth="1"/>
    <col min="14364" max="14364" width="9.7109375" style="49" bestFit="1" customWidth="1"/>
    <col min="14365" max="14365" width="10.28515625" style="49" bestFit="1" customWidth="1"/>
    <col min="14366" max="14366" width="9.7109375" style="49" bestFit="1" customWidth="1"/>
    <col min="14367" max="14367" width="10.42578125" style="49" customWidth="1"/>
    <col min="14368" max="14368" width="10.7109375" style="49" customWidth="1"/>
    <col min="14369" max="14599" width="9.140625" style="49"/>
    <col min="14600" max="14600" width="2.7109375" style="49" customWidth="1"/>
    <col min="14601" max="14601" width="45.5703125" style="49" customWidth="1"/>
    <col min="14602" max="14609" width="0" style="49" hidden="1" customWidth="1"/>
    <col min="14610" max="14619" width="9.7109375" style="49" customWidth="1"/>
    <col min="14620" max="14620" width="9.7109375" style="49" bestFit="1" customWidth="1"/>
    <col min="14621" max="14621" width="10.28515625" style="49" bestFit="1" customWidth="1"/>
    <col min="14622" max="14622" width="9.7109375" style="49" bestFit="1" customWidth="1"/>
    <col min="14623" max="14623" width="10.42578125" style="49" customWidth="1"/>
    <col min="14624" max="14624" width="10.7109375" style="49" customWidth="1"/>
    <col min="14625" max="14855" width="9.140625" style="49"/>
    <col min="14856" max="14856" width="2.7109375" style="49" customWidth="1"/>
    <col min="14857" max="14857" width="45.5703125" style="49" customWidth="1"/>
    <col min="14858" max="14865" width="0" style="49" hidden="1" customWidth="1"/>
    <col min="14866" max="14875" width="9.7109375" style="49" customWidth="1"/>
    <col min="14876" max="14876" width="9.7109375" style="49" bestFit="1" customWidth="1"/>
    <col min="14877" max="14877" width="10.28515625" style="49" bestFit="1" customWidth="1"/>
    <col min="14878" max="14878" width="9.7109375" style="49" bestFit="1" customWidth="1"/>
    <col min="14879" max="14879" width="10.42578125" style="49" customWidth="1"/>
    <col min="14880" max="14880" width="10.7109375" style="49" customWidth="1"/>
    <col min="14881" max="15111" width="9.140625" style="49"/>
    <col min="15112" max="15112" width="2.7109375" style="49" customWidth="1"/>
    <col min="15113" max="15113" width="45.5703125" style="49" customWidth="1"/>
    <col min="15114" max="15121" width="0" style="49" hidden="1" customWidth="1"/>
    <col min="15122" max="15131" width="9.7109375" style="49" customWidth="1"/>
    <col min="15132" max="15132" width="9.7109375" style="49" bestFit="1" customWidth="1"/>
    <col min="15133" max="15133" width="10.28515625" style="49" bestFit="1" customWidth="1"/>
    <col min="15134" max="15134" width="9.7109375" style="49" bestFit="1" customWidth="1"/>
    <col min="15135" max="15135" width="10.42578125" style="49" customWidth="1"/>
    <col min="15136" max="15136" width="10.7109375" style="49" customWidth="1"/>
    <col min="15137" max="15367" width="9.140625" style="49"/>
    <col min="15368" max="15368" width="2.7109375" style="49" customWidth="1"/>
    <col min="15369" max="15369" width="45.5703125" style="49" customWidth="1"/>
    <col min="15370" max="15377" width="0" style="49" hidden="1" customWidth="1"/>
    <col min="15378" max="15387" width="9.7109375" style="49" customWidth="1"/>
    <col min="15388" max="15388" width="9.7109375" style="49" bestFit="1" customWidth="1"/>
    <col min="15389" max="15389" width="10.28515625" style="49" bestFit="1" customWidth="1"/>
    <col min="15390" max="15390" width="9.7109375" style="49" bestFit="1" customWidth="1"/>
    <col min="15391" max="15391" width="10.42578125" style="49" customWidth="1"/>
    <col min="15392" max="15392" width="10.7109375" style="49" customWidth="1"/>
    <col min="15393" max="15623" width="9.140625" style="49"/>
    <col min="15624" max="15624" width="2.7109375" style="49" customWidth="1"/>
    <col min="15625" max="15625" width="45.5703125" style="49" customWidth="1"/>
    <col min="15626" max="15633" width="0" style="49" hidden="1" customWidth="1"/>
    <col min="15634" max="15643" width="9.7109375" style="49" customWidth="1"/>
    <col min="15644" max="15644" width="9.7109375" style="49" bestFit="1" customWidth="1"/>
    <col min="15645" max="15645" width="10.28515625" style="49" bestFit="1" customWidth="1"/>
    <col min="15646" max="15646" width="9.7109375" style="49" bestFit="1" customWidth="1"/>
    <col min="15647" max="15647" width="10.42578125" style="49" customWidth="1"/>
    <col min="15648" max="15648" width="10.7109375" style="49" customWidth="1"/>
    <col min="15649" max="15879" width="9.140625" style="49"/>
    <col min="15880" max="15880" width="2.7109375" style="49" customWidth="1"/>
    <col min="15881" max="15881" width="45.5703125" style="49" customWidth="1"/>
    <col min="15882" max="15889" width="0" style="49" hidden="1" customWidth="1"/>
    <col min="15890" max="15899" width="9.7109375" style="49" customWidth="1"/>
    <col min="15900" max="15900" width="9.7109375" style="49" bestFit="1" customWidth="1"/>
    <col min="15901" max="15901" width="10.28515625" style="49" bestFit="1" customWidth="1"/>
    <col min="15902" max="15902" width="9.7109375" style="49" bestFit="1" customWidth="1"/>
    <col min="15903" max="15903" width="10.42578125" style="49" customWidth="1"/>
    <col min="15904" max="15904" width="10.7109375" style="49" customWidth="1"/>
    <col min="15905" max="16135" width="9.140625" style="49"/>
    <col min="16136" max="16136" width="2.7109375" style="49" customWidth="1"/>
    <col min="16137" max="16137" width="45.5703125" style="49" customWidth="1"/>
    <col min="16138" max="16145" width="0" style="49" hidden="1" customWidth="1"/>
    <col min="16146" max="16155" width="9.7109375" style="49" customWidth="1"/>
    <col min="16156" max="16156" width="9.7109375" style="49" bestFit="1" customWidth="1"/>
    <col min="16157" max="16157" width="10.28515625" style="49" bestFit="1" customWidth="1"/>
    <col min="16158" max="16158" width="9.7109375" style="49" bestFit="1" customWidth="1"/>
    <col min="16159" max="16159" width="10.42578125" style="49" customWidth="1"/>
    <col min="16160" max="16160" width="10.7109375" style="49" customWidth="1"/>
    <col min="16161" max="16384" width="9.140625" style="49"/>
  </cols>
  <sheetData>
    <row r="1" spans="1:40" ht="15.75" hidden="1" thickBot="1" x14ac:dyDescent="0.3">
      <c r="A1" s="46"/>
      <c r="B1" s="165"/>
      <c r="C1" s="165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7"/>
      <c r="S1" s="47"/>
      <c r="T1" s="47"/>
    </row>
    <row r="2" spans="1:40" ht="15.75" hidden="1" thickBot="1" x14ac:dyDescent="0.3">
      <c r="A2" s="46"/>
      <c r="B2" s="50"/>
      <c r="C2" s="50"/>
      <c r="D2" s="50"/>
      <c r="E2" s="50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40" ht="12.75" hidden="1" customHeight="1" x14ac:dyDescent="0.3">
      <c r="A3" s="46"/>
      <c r="B3" s="50"/>
      <c r="C3" s="168" t="s">
        <v>175</v>
      </c>
      <c r="D3" s="169"/>
      <c r="E3" s="170"/>
      <c r="F3" s="47"/>
      <c r="G3" s="171" t="s">
        <v>176</v>
      </c>
      <c r="H3" s="172"/>
      <c r="I3" s="47"/>
      <c r="J3" s="171" t="s">
        <v>177</v>
      </c>
      <c r="K3" s="172"/>
      <c r="L3" s="47"/>
      <c r="M3" s="171" t="s">
        <v>178</v>
      </c>
      <c r="N3" s="172"/>
      <c r="O3" s="47"/>
      <c r="P3" s="171" t="s">
        <v>179</v>
      </c>
      <c r="Q3" s="173"/>
      <c r="R3" s="172"/>
      <c r="S3" s="47"/>
      <c r="T3" s="47"/>
      <c r="U3" s="47"/>
      <c r="V3" s="47"/>
    </row>
    <row r="4" spans="1:40" ht="15.75" x14ac:dyDescent="0.25">
      <c r="A4" s="140" t="s">
        <v>217</v>
      </c>
      <c r="B4" s="141"/>
      <c r="C4" s="142"/>
      <c r="D4" s="142"/>
      <c r="E4" s="143"/>
      <c r="F4" s="144"/>
      <c r="G4" s="145"/>
      <c r="H4" s="145"/>
      <c r="I4" s="144"/>
      <c r="J4" s="145"/>
      <c r="K4" s="145"/>
      <c r="L4" s="144"/>
      <c r="M4" s="174"/>
      <c r="N4" s="174"/>
      <c r="O4" s="144"/>
      <c r="P4" s="146"/>
      <c r="Q4" s="146"/>
      <c r="R4" s="146"/>
      <c r="S4" s="146"/>
      <c r="T4" s="146"/>
      <c r="U4" s="147"/>
      <c r="V4" s="147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8"/>
      <c r="AN4" s="148"/>
    </row>
    <row r="5" spans="1:40" x14ac:dyDescent="0.25">
      <c r="A5" s="149" t="s">
        <v>218</v>
      </c>
      <c r="B5" s="80"/>
      <c r="C5" s="81"/>
      <c r="D5" s="81"/>
      <c r="E5" s="82"/>
      <c r="F5" s="83"/>
      <c r="G5" s="84"/>
      <c r="H5" s="84"/>
      <c r="I5" s="81"/>
      <c r="J5" s="175" t="s">
        <v>180</v>
      </c>
      <c r="K5" s="175"/>
      <c r="L5" s="83"/>
      <c r="M5" s="175" t="s">
        <v>181</v>
      </c>
      <c r="N5" s="175"/>
      <c r="O5" s="83"/>
      <c r="P5" s="175" t="s">
        <v>181</v>
      </c>
      <c r="Q5" s="175"/>
      <c r="R5" s="175"/>
      <c r="S5" s="175"/>
      <c r="T5" s="175"/>
      <c r="U5" s="83"/>
      <c r="V5" s="83"/>
      <c r="W5" s="176" t="s">
        <v>181</v>
      </c>
      <c r="X5" s="176"/>
      <c r="Y5" s="176"/>
      <c r="Z5" s="176"/>
      <c r="AA5" s="86"/>
      <c r="AB5" s="86"/>
      <c r="AC5" s="176" t="s">
        <v>181</v>
      </c>
      <c r="AD5" s="176"/>
      <c r="AE5" s="176"/>
      <c r="AF5" s="176"/>
      <c r="AG5" s="81"/>
      <c r="AH5" s="81"/>
      <c r="AI5" s="176" t="s">
        <v>181</v>
      </c>
      <c r="AJ5" s="176"/>
      <c r="AK5" s="176"/>
      <c r="AL5" s="176"/>
      <c r="AM5" s="81"/>
      <c r="AN5" s="81"/>
    </row>
    <row r="6" spans="1:40" s="53" customFormat="1" ht="15" customHeight="1" x14ac:dyDescent="0.25">
      <c r="A6" s="150"/>
      <c r="B6" s="87"/>
      <c r="C6" s="178" t="s">
        <v>175</v>
      </c>
      <c r="D6" s="178"/>
      <c r="E6" s="179" t="s">
        <v>182</v>
      </c>
      <c r="F6" s="180" t="s">
        <v>183</v>
      </c>
      <c r="G6" s="181" t="s">
        <v>176</v>
      </c>
      <c r="H6" s="181"/>
      <c r="I6" s="180" t="s">
        <v>184</v>
      </c>
      <c r="J6" s="181" t="s">
        <v>177</v>
      </c>
      <c r="K6" s="181"/>
      <c r="L6" s="180" t="s">
        <v>185</v>
      </c>
      <c r="M6" s="181" t="s">
        <v>178</v>
      </c>
      <c r="N6" s="181"/>
      <c r="O6" s="180" t="s">
        <v>212</v>
      </c>
      <c r="P6" s="181" t="s">
        <v>187</v>
      </c>
      <c r="Q6" s="181"/>
      <c r="R6" s="181"/>
      <c r="S6" s="181"/>
      <c r="T6" s="181"/>
      <c r="U6" s="177" t="s">
        <v>186</v>
      </c>
      <c r="V6" s="180" t="s">
        <v>189</v>
      </c>
      <c r="W6" s="181" t="s">
        <v>190</v>
      </c>
      <c r="X6" s="181"/>
      <c r="Y6" s="181"/>
      <c r="Z6" s="181"/>
      <c r="AA6" s="177" t="s">
        <v>188</v>
      </c>
      <c r="AB6" s="180" t="s">
        <v>192</v>
      </c>
      <c r="AC6" s="181" t="s">
        <v>193</v>
      </c>
      <c r="AD6" s="181"/>
      <c r="AE6" s="181"/>
      <c r="AF6" s="181"/>
      <c r="AG6" s="177" t="s">
        <v>191</v>
      </c>
      <c r="AH6" s="180" t="s">
        <v>195</v>
      </c>
      <c r="AI6" s="181" t="s">
        <v>196</v>
      </c>
      <c r="AJ6" s="181"/>
      <c r="AK6" s="181"/>
      <c r="AL6" s="181"/>
      <c r="AM6" s="177" t="s">
        <v>194</v>
      </c>
      <c r="AN6" s="180" t="s">
        <v>197</v>
      </c>
    </row>
    <row r="7" spans="1:40" s="54" customFormat="1" ht="52.5" customHeight="1" x14ac:dyDescent="0.25">
      <c r="A7" s="151"/>
      <c r="B7" s="88" t="s">
        <v>198</v>
      </c>
      <c r="C7" s="89" t="s">
        <v>199</v>
      </c>
      <c r="D7" s="89" t="s">
        <v>200</v>
      </c>
      <c r="E7" s="179"/>
      <c r="F7" s="180"/>
      <c r="G7" s="90" t="s">
        <v>199</v>
      </c>
      <c r="H7" s="90" t="s">
        <v>200</v>
      </c>
      <c r="I7" s="180"/>
      <c r="J7" s="90" t="s">
        <v>199</v>
      </c>
      <c r="K7" s="90" t="s">
        <v>200</v>
      </c>
      <c r="L7" s="180"/>
      <c r="M7" s="90" t="s">
        <v>199</v>
      </c>
      <c r="N7" s="90" t="s">
        <v>200</v>
      </c>
      <c r="O7" s="180"/>
      <c r="P7" s="91" t="s">
        <v>201</v>
      </c>
      <c r="Q7" s="90" t="s">
        <v>199</v>
      </c>
      <c r="R7" s="91" t="s">
        <v>202</v>
      </c>
      <c r="S7" s="90" t="s">
        <v>203</v>
      </c>
      <c r="T7" s="90" t="s">
        <v>200</v>
      </c>
      <c r="U7" s="177"/>
      <c r="V7" s="180"/>
      <c r="W7" s="91" t="s">
        <v>204</v>
      </c>
      <c r="X7" s="90" t="s">
        <v>199</v>
      </c>
      <c r="Y7" s="91" t="s">
        <v>205</v>
      </c>
      <c r="Z7" s="90" t="s">
        <v>200</v>
      </c>
      <c r="AA7" s="177"/>
      <c r="AB7" s="180"/>
      <c r="AC7" s="91" t="s">
        <v>206</v>
      </c>
      <c r="AD7" s="90" t="s">
        <v>199</v>
      </c>
      <c r="AE7" s="91" t="s">
        <v>207</v>
      </c>
      <c r="AF7" s="90" t="s">
        <v>200</v>
      </c>
      <c r="AG7" s="177"/>
      <c r="AH7" s="180"/>
      <c r="AI7" s="91" t="s">
        <v>208</v>
      </c>
      <c r="AJ7" s="90" t="s">
        <v>199</v>
      </c>
      <c r="AK7" s="91" t="s">
        <v>209</v>
      </c>
      <c r="AL7" s="90" t="s">
        <v>200</v>
      </c>
      <c r="AM7" s="177"/>
      <c r="AN7" s="180"/>
    </row>
    <row r="8" spans="1:40" s="54" customFormat="1" ht="15" customHeight="1" x14ac:dyDescent="0.25">
      <c r="A8" s="151"/>
      <c r="B8" s="88"/>
      <c r="C8" s="89"/>
      <c r="D8" s="89"/>
      <c r="E8" s="89"/>
      <c r="F8" s="92" t="s">
        <v>210</v>
      </c>
      <c r="G8" s="92" t="s">
        <v>210</v>
      </c>
      <c r="H8" s="92" t="s">
        <v>210</v>
      </c>
      <c r="I8" s="92" t="s">
        <v>210</v>
      </c>
      <c r="J8" s="92" t="s">
        <v>210</v>
      </c>
      <c r="K8" s="92" t="s">
        <v>210</v>
      </c>
      <c r="L8" s="92" t="s">
        <v>210</v>
      </c>
      <c r="M8" s="92" t="s">
        <v>210</v>
      </c>
      <c r="N8" s="92" t="s">
        <v>210</v>
      </c>
      <c r="O8" s="14" t="s">
        <v>5</v>
      </c>
      <c r="P8" s="93" t="s">
        <v>210</v>
      </c>
      <c r="Q8" s="14" t="s">
        <v>5</v>
      </c>
      <c r="R8" s="14" t="s">
        <v>5</v>
      </c>
      <c r="S8" s="14" t="s">
        <v>5</v>
      </c>
      <c r="T8" s="14" t="s">
        <v>5</v>
      </c>
      <c r="U8" s="14" t="s">
        <v>5</v>
      </c>
      <c r="V8" s="14" t="s">
        <v>5</v>
      </c>
      <c r="W8" s="14" t="s">
        <v>5</v>
      </c>
      <c r="X8" s="14" t="s">
        <v>5</v>
      </c>
      <c r="Y8" s="14" t="s">
        <v>5</v>
      </c>
      <c r="Z8" s="14" t="s">
        <v>5</v>
      </c>
      <c r="AA8" s="14" t="s">
        <v>5</v>
      </c>
      <c r="AB8" s="14" t="s">
        <v>5</v>
      </c>
      <c r="AC8" s="14" t="s">
        <v>5</v>
      </c>
      <c r="AD8" s="14" t="s">
        <v>5</v>
      </c>
      <c r="AE8" s="14" t="s">
        <v>5</v>
      </c>
      <c r="AF8" s="14" t="s">
        <v>5</v>
      </c>
      <c r="AG8" s="14" t="s">
        <v>5</v>
      </c>
      <c r="AH8" s="14" t="s">
        <v>5</v>
      </c>
      <c r="AI8" s="14" t="s">
        <v>5</v>
      </c>
      <c r="AJ8" s="14" t="s">
        <v>5</v>
      </c>
      <c r="AK8" s="14" t="s">
        <v>5</v>
      </c>
      <c r="AL8" s="14" t="s">
        <v>5</v>
      </c>
      <c r="AM8" s="14" t="s">
        <v>5</v>
      </c>
      <c r="AN8" s="14" t="s">
        <v>5</v>
      </c>
    </row>
    <row r="9" spans="1:40" ht="15.75" thickBot="1" x14ac:dyDescent="0.3">
      <c r="A9" s="152"/>
      <c r="B9" s="112"/>
      <c r="C9" s="111"/>
      <c r="D9" s="111"/>
      <c r="E9" s="122"/>
      <c r="F9" s="123"/>
      <c r="G9" s="124"/>
      <c r="H9" s="124"/>
      <c r="I9" s="123"/>
      <c r="J9" s="124"/>
      <c r="K9" s="124"/>
      <c r="L9" s="123"/>
      <c r="M9" s="124"/>
      <c r="N9" s="124"/>
      <c r="O9" s="123"/>
      <c r="P9" s="125"/>
      <c r="Q9" s="124"/>
      <c r="R9" s="125"/>
      <c r="S9" s="124"/>
      <c r="T9" s="124"/>
      <c r="U9" s="125"/>
      <c r="V9" s="123"/>
      <c r="W9" s="125"/>
      <c r="X9" s="124"/>
      <c r="Y9" s="125"/>
      <c r="Z9" s="124"/>
      <c r="AA9" s="125"/>
      <c r="AB9" s="123"/>
      <c r="AC9" s="125"/>
      <c r="AD9" s="124"/>
      <c r="AE9" s="125"/>
      <c r="AF9" s="124"/>
      <c r="AG9" s="125"/>
      <c r="AH9" s="123"/>
      <c r="AI9" s="125"/>
      <c r="AJ9" s="124"/>
      <c r="AK9" s="125"/>
      <c r="AL9" s="124"/>
      <c r="AM9" s="125"/>
      <c r="AN9" s="123"/>
    </row>
    <row r="10" spans="1:40" ht="15.75" thickBot="1" x14ac:dyDescent="0.3">
      <c r="A10" s="117" t="s">
        <v>166</v>
      </c>
      <c r="B10" s="134">
        <v>-3020027.05</v>
      </c>
      <c r="C10" s="135">
        <v>-131295.34</v>
      </c>
      <c r="D10" s="135"/>
      <c r="E10" s="136">
        <f>-245054.86-C10</f>
        <v>-113759.51999999999</v>
      </c>
      <c r="F10" s="137">
        <v>4318</v>
      </c>
      <c r="G10" s="138">
        <f>816</f>
        <v>816</v>
      </c>
      <c r="H10" s="138">
        <v>-1748</v>
      </c>
      <c r="I10" s="110">
        <f>3486+143+337</f>
        <v>3966</v>
      </c>
      <c r="J10" s="109">
        <v>50</v>
      </c>
      <c r="K10" s="109"/>
      <c r="L10" s="110">
        <f>SUM(I10:K10)</f>
        <v>4016</v>
      </c>
      <c r="M10" s="109"/>
      <c r="N10" s="109">
        <v>-12</v>
      </c>
      <c r="O10" s="110">
        <f>'Summary Net'!C33</f>
        <v>-9480</v>
      </c>
      <c r="P10" s="139"/>
      <c r="Q10" s="110">
        <f>'Summary Net'!J30</f>
        <v>-351118.19999999995</v>
      </c>
      <c r="R10" s="139">
        <v>-11</v>
      </c>
      <c r="S10" s="109"/>
      <c r="T10" s="109"/>
      <c r="U10" s="139">
        <f>SUM(O10+P10+R10)</f>
        <v>-9491</v>
      </c>
      <c r="V10" s="110">
        <f>O10+Q10+T10</f>
        <v>-360598.19999999995</v>
      </c>
      <c r="W10" s="139"/>
      <c r="X10" s="109"/>
      <c r="Y10" s="139"/>
      <c r="Z10" s="109"/>
      <c r="AA10" s="139">
        <f>SUM(U10+W10+Y10:Y10)</f>
        <v>-9491</v>
      </c>
      <c r="AB10" s="110">
        <f>V10+X10+Z10</f>
        <v>-360598.19999999995</v>
      </c>
      <c r="AC10" s="139"/>
      <c r="AD10" s="109"/>
      <c r="AE10" s="139"/>
      <c r="AF10" s="109"/>
      <c r="AG10" s="139">
        <f>SUM(AA10+AC10+AE10:AE10)</f>
        <v>-9491</v>
      </c>
      <c r="AH10" s="110">
        <f>AB10+AD10+AF10</f>
        <v>-360598.19999999995</v>
      </c>
      <c r="AI10" s="139"/>
      <c r="AJ10" s="109"/>
      <c r="AK10" s="139"/>
      <c r="AL10" s="109"/>
      <c r="AM10" s="139">
        <f>SUM(AG10+AI10+AK10:AK10)</f>
        <v>-9491</v>
      </c>
      <c r="AN10" s="110">
        <f>AH10+AJ10+AL10</f>
        <v>-360598.19999999995</v>
      </c>
    </row>
    <row r="11" spans="1:40" x14ac:dyDescent="0.25">
      <c r="A11" s="153"/>
      <c r="B11" s="126"/>
      <c r="C11" s="127"/>
      <c r="D11" s="127"/>
      <c r="E11" s="128"/>
      <c r="F11" s="129"/>
      <c r="G11" s="130"/>
      <c r="H11" s="130"/>
      <c r="I11" s="131"/>
      <c r="J11" s="132"/>
      <c r="K11" s="132"/>
      <c r="L11" s="131"/>
      <c r="M11" s="132"/>
      <c r="N11" s="132"/>
      <c r="O11" s="131"/>
      <c r="P11" s="133"/>
      <c r="Q11" s="132"/>
      <c r="R11" s="133"/>
      <c r="S11" s="132"/>
      <c r="T11" s="132"/>
      <c r="U11" s="133"/>
      <c r="V11" s="131"/>
      <c r="W11" s="133"/>
      <c r="X11" s="132"/>
      <c r="Y11" s="133"/>
      <c r="Z11" s="132"/>
      <c r="AA11" s="133"/>
      <c r="AB11" s="131"/>
      <c r="AC11" s="133"/>
      <c r="AD11" s="132"/>
      <c r="AE11" s="133"/>
      <c r="AF11" s="132"/>
      <c r="AG11" s="133"/>
      <c r="AH11" s="131"/>
      <c r="AI11" s="133"/>
      <c r="AJ11" s="132"/>
      <c r="AK11" s="133"/>
      <c r="AL11" s="132"/>
      <c r="AM11" s="133"/>
      <c r="AN11" s="131"/>
    </row>
    <row r="12" spans="1:40" x14ac:dyDescent="0.25">
      <c r="A12" s="154" t="s">
        <v>211</v>
      </c>
      <c r="B12" s="80"/>
      <c r="C12" s="101"/>
      <c r="D12" s="101"/>
      <c r="E12" s="102"/>
      <c r="F12" s="83"/>
      <c r="G12" s="84"/>
      <c r="H12" s="84"/>
      <c r="I12" s="103"/>
      <c r="J12" s="104"/>
      <c r="K12" s="104"/>
      <c r="L12" s="103"/>
      <c r="M12" s="104"/>
      <c r="N12" s="104"/>
      <c r="O12" s="103"/>
      <c r="P12" s="105"/>
      <c r="Q12" s="104"/>
      <c r="R12" s="105"/>
      <c r="S12" s="104"/>
      <c r="T12" s="104"/>
      <c r="U12" s="105"/>
      <c r="V12" s="103"/>
      <c r="W12" s="105"/>
      <c r="X12" s="104"/>
      <c r="Y12" s="105"/>
      <c r="Z12" s="104"/>
      <c r="AA12" s="105"/>
      <c r="AB12" s="103"/>
      <c r="AC12" s="105"/>
      <c r="AD12" s="104"/>
      <c r="AE12" s="105"/>
      <c r="AF12" s="104"/>
      <c r="AG12" s="105"/>
      <c r="AH12" s="103"/>
      <c r="AI12" s="105"/>
      <c r="AJ12" s="104"/>
      <c r="AK12" s="105"/>
      <c r="AL12" s="104"/>
      <c r="AM12" s="105"/>
      <c r="AN12" s="103"/>
    </row>
    <row r="13" spans="1:40" x14ac:dyDescent="0.25">
      <c r="A13" s="154"/>
      <c r="B13" s="80"/>
      <c r="C13" s="101"/>
      <c r="D13" s="101"/>
      <c r="E13" s="102"/>
      <c r="F13" s="83"/>
      <c r="G13" s="84"/>
      <c r="H13" s="84"/>
      <c r="I13" s="103"/>
      <c r="J13" s="104"/>
      <c r="K13" s="104"/>
      <c r="L13" s="103"/>
      <c r="M13" s="104"/>
      <c r="N13" s="104"/>
      <c r="O13" s="103"/>
      <c r="P13" s="105"/>
      <c r="Q13" s="104"/>
      <c r="R13" s="105"/>
      <c r="S13" s="104"/>
      <c r="T13" s="104"/>
      <c r="U13" s="105"/>
      <c r="V13" s="103"/>
      <c r="W13" s="105"/>
      <c r="X13" s="104"/>
      <c r="Y13" s="105"/>
      <c r="Z13" s="104"/>
      <c r="AA13" s="105"/>
      <c r="AB13" s="103"/>
      <c r="AC13" s="105"/>
      <c r="AD13" s="104"/>
      <c r="AE13" s="105"/>
      <c r="AF13" s="104"/>
      <c r="AG13" s="105"/>
      <c r="AH13" s="103"/>
      <c r="AI13" s="105"/>
      <c r="AJ13" s="104"/>
      <c r="AK13" s="105"/>
      <c r="AL13" s="104"/>
      <c r="AM13" s="105"/>
      <c r="AN13" s="103"/>
    </row>
    <row r="14" spans="1:40" ht="15.75" customHeight="1" x14ac:dyDescent="0.25">
      <c r="A14" s="155" t="s">
        <v>213</v>
      </c>
      <c r="B14" s="94">
        <v>-500000</v>
      </c>
      <c r="C14" s="95">
        <v>-62900</v>
      </c>
      <c r="D14" s="95">
        <v>73506.87</v>
      </c>
      <c r="E14" s="96"/>
      <c r="F14" s="85">
        <v>417</v>
      </c>
      <c r="G14" s="97"/>
      <c r="H14" s="97">
        <v>-60</v>
      </c>
      <c r="I14" s="98">
        <f t="shared" ref="I14" si="0">SUM(F14:H14)</f>
        <v>357</v>
      </c>
      <c r="J14" s="99">
        <v>150</v>
      </c>
      <c r="K14" s="99">
        <v>-334</v>
      </c>
      <c r="L14" s="98">
        <f t="shared" ref="L14" si="1">SUM(I14:K14)</f>
        <v>173</v>
      </c>
      <c r="M14" s="99"/>
      <c r="N14" s="99"/>
      <c r="O14" s="98">
        <v>0</v>
      </c>
      <c r="P14" s="100"/>
      <c r="Q14" s="98">
        <f>-Miscellaneous!J12+-'Sparrows Nest'!J8</f>
        <v>-60700</v>
      </c>
      <c r="R14" s="100"/>
      <c r="S14" s="99"/>
      <c r="T14" s="99"/>
      <c r="U14" s="100">
        <f t="shared" ref="U14" si="2">SUM(O14+P14+R14)</f>
        <v>0</v>
      </c>
      <c r="V14" s="98">
        <f t="shared" ref="V14:V18" si="3">O14+Q14+S14+T14</f>
        <v>-60700</v>
      </c>
      <c r="W14" s="100"/>
      <c r="X14" s="98">
        <f>-Miscellaneous!K12+-'Sparrows Nest'!K8</f>
        <v>-60700</v>
      </c>
      <c r="Y14" s="100"/>
      <c r="Z14" s="99"/>
      <c r="AA14" s="100">
        <f>SUM(U14+W14+Y14:Y14)</f>
        <v>0</v>
      </c>
      <c r="AB14" s="98">
        <f t="shared" ref="AB14:AB18" si="4">V14+X14+Z14</f>
        <v>-121400</v>
      </c>
      <c r="AC14" s="100"/>
      <c r="AD14" s="98">
        <f>-Miscellaneous!L12+-'Sparrows Nest'!L8</f>
        <v>-60700</v>
      </c>
      <c r="AE14" s="100"/>
      <c r="AF14" s="99"/>
      <c r="AG14" s="100">
        <f t="shared" ref="AG14" si="5">SUM(AA14+AC14+AE14:AE14)</f>
        <v>0</v>
      </c>
      <c r="AH14" s="98">
        <f>AB14+AD14+AF14</f>
        <v>-182100</v>
      </c>
      <c r="AI14" s="100"/>
      <c r="AJ14" s="98">
        <f>-Miscellaneous!M12+-'Sparrows Nest'!L8</f>
        <v>-60700</v>
      </c>
      <c r="AK14" s="100"/>
      <c r="AL14" s="99"/>
      <c r="AM14" s="100">
        <f>SUM(AG14+AI14+AK14:AK14)</f>
        <v>0</v>
      </c>
      <c r="AN14" s="98">
        <f t="shared" ref="AN14:AN18" si="6">AH14+AJ14+AL14</f>
        <v>-242800</v>
      </c>
    </row>
    <row r="15" spans="1:40" ht="15.75" customHeight="1" x14ac:dyDescent="0.25">
      <c r="A15" s="156"/>
      <c r="B15" s="94"/>
      <c r="C15" s="95"/>
      <c r="D15" s="95"/>
      <c r="E15" s="96"/>
      <c r="F15" s="85"/>
      <c r="G15" s="97"/>
      <c r="H15" s="97"/>
      <c r="I15" s="98"/>
      <c r="J15" s="99"/>
      <c r="K15" s="99"/>
      <c r="L15" s="98"/>
      <c r="M15" s="99"/>
      <c r="N15" s="99"/>
      <c r="O15" s="98"/>
      <c r="P15" s="100"/>
      <c r="Q15" s="99"/>
      <c r="R15" s="100"/>
      <c r="S15" s="99"/>
      <c r="T15" s="99"/>
      <c r="U15" s="100"/>
      <c r="V15" s="98"/>
      <c r="W15" s="100"/>
      <c r="X15" s="99"/>
      <c r="Y15" s="100"/>
      <c r="Z15" s="99"/>
      <c r="AA15" s="100"/>
      <c r="AB15" s="98"/>
      <c r="AC15" s="100"/>
      <c r="AD15" s="99"/>
      <c r="AE15" s="100"/>
      <c r="AF15" s="99"/>
      <c r="AG15" s="100"/>
      <c r="AH15" s="98"/>
      <c r="AI15" s="100"/>
      <c r="AJ15" s="99"/>
      <c r="AK15" s="100"/>
      <c r="AL15" s="99"/>
      <c r="AM15" s="100"/>
      <c r="AN15" s="98"/>
    </row>
    <row r="16" spans="1:40" ht="15.75" customHeight="1" x14ac:dyDescent="0.25">
      <c r="A16" s="157" t="s">
        <v>214</v>
      </c>
      <c r="B16" s="94">
        <v>-216600</v>
      </c>
      <c r="C16" s="95">
        <v>-283400</v>
      </c>
      <c r="D16" s="95"/>
      <c r="E16" s="96"/>
      <c r="F16" s="85">
        <v>100</v>
      </c>
      <c r="G16" s="97">
        <v>100</v>
      </c>
      <c r="H16" s="97"/>
      <c r="I16" s="98">
        <f>SUM(F16:H16)</f>
        <v>200</v>
      </c>
      <c r="J16" s="99"/>
      <c r="K16" s="99"/>
      <c r="L16" s="98">
        <f>SUM(I16:K16)</f>
        <v>200</v>
      </c>
      <c r="M16" s="99">
        <v>53</v>
      </c>
      <c r="N16" s="99"/>
      <c r="O16" s="98">
        <v>0</v>
      </c>
      <c r="P16" s="99"/>
      <c r="Q16" s="99"/>
      <c r="R16" s="99"/>
      <c r="S16" s="99"/>
      <c r="T16" s="99"/>
      <c r="U16" s="99">
        <f>SUM(O16+P16+R16)</f>
        <v>0</v>
      </c>
      <c r="V16" s="98">
        <f>O16+Q16+S16+T16</f>
        <v>0</v>
      </c>
      <c r="W16" s="99"/>
      <c r="X16" s="98">
        <f>-'Play Areas'!K7</f>
        <v>-50000</v>
      </c>
      <c r="Y16" s="99"/>
      <c r="Z16" s="99"/>
      <c r="AA16" s="99">
        <f>SUM(U16+W16+Y16:Y16)</f>
        <v>0</v>
      </c>
      <c r="AB16" s="98">
        <f>V16+X16+Z16</f>
        <v>-50000</v>
      </c>
      <c r="AC16" s="99"/>
      <c r="AD16" s="98">
        <f>-'Play Areas'!L7</f>
        <v>-50000</v>
      </c>
      <c r="AE16" s="99"/>
      <c r="AF16" s="99"/>
      <c r="AG16" s="99">
        <f>SUM(AA16+AC16+AE16:AE16)</f>
        <v>0</v>
      </c>
      <c r="AH16" s="98">
        <f>AB16+AD16+AF16</f>
        <v>-100000</v>
      </c>
      <c r="AI16" s="99"/>
      <c r="AJ16" s="98">
        <f>-'Play Areas'!M7</f>
        <v>-50000</v>
      </c>
      <c r="AK16" s="99"/>
      <c r="AL16" s="99"/>
      <c r="AM16" s="99">
        <f>SUM(AG16+AI16+AK16:AK16)</f>
        <v>0</v>
      </c>
      <c r="AN16" s="98">
        <f>AH16+AJ16+AL16</f>
        <v>-150000</v>
      </c>
    </row>
    <row r="17" spans="1:41" ht="15.75" customHeight="1" x14ac:dyDescent="0.25">
      <c r="A17" s="157"/>
      <c r="B17" s="94"/>
      <c r="C17" s="95"/>
      <c r="D17" s="95"/>
      <c r="E17" s="96"/>
      <c r="F17" s="85"/>
      <c r="G17" s="97"/>
      <c r="H17" s="97"/>
      <c r="I17" s="98"/>
      <c r="J17" s="99"/>
      <c r="K17" s="99"/>
      <c r="L17" s="98"/>
      <c r="M17" s="99"/>
      <c r="N17" s="99"/>
      <c r="O17" s="98"/>
      <c r="P17" s="99"/>
      <c r="Q17" s="99"/>
      <c r="R17" s="99"/>
      <c r="S17" s="99"/>
      <c r="T17" s="99"/>
      <c r="U17" s="99"/>
      <c r="V17" s="98"/>
      <c r="W17" s="99"/>
      <c r="X17" s="98"/>
      <c r="Y17" s="99"/>
      <c r="Z17" s="99"/>
      <c r="AA17" s="99"/>
      <c r="AB17" s="98"/>
      <c r="AC17" s="99"/>
      <c r="AD17" s="98"/>
      <c r="AE17" s="99"/>
      <c r="AF17" s="99"/>
      <c r="AG17" s="99"/>
      <c r="AH17" s="98"/>
      <c r="AI17" s="99"/>
      <c r="AJ17" s="98"/>
      <c r="AK17" s="99"/>
      <c r="AL17" s="99"/>
      <c r="AM17" s="99"/>
      <c r="AN17" s="98"/>
    </row>
    <row r="18" spans="1:41" ht="15.75" customHeight="1" x14ac:dyDescent="0.25">
      <c r="A18" s="155" t="s">
        <v>215</v>
      </c>
      <c r="B18" s="94">
        <v>0</v>
      </c>
      <c r="C18" s="95"/>
      <c r="D18" s="95"/>
      <c r="E18" s="96"/>
      <c r="F18" s="85">
        <v>70</v>
      </c>
      <c r="G18" s="97">
        <v>60</v>
      </c>
      <c r="H18" s="97"/>
      <c r="I18" s="98">
        <f>SUM(F18:H18)</f>
        <v>130</v>
      </c>
      <c r="J18" s="99">
        <v>60</v>
      </c>
      <c r="K18" s="99"/>
      <c r="L18" s="98">
        <f>SUM(I18:K18)</f>
        <v>190</v>
      </c>
      <c r="M18" s="99"/>
      <c r="N18" s="99"/>
      <c r="O18" s="98">
        <v>0</v>
      </c>
      <c r="P18" s="99">
        <v>60</v>
      </c>
      <c r="Q18" s="98">
        <v>-18160</v>
      </c>
      <c r="R18" s="99">
        <v>-50</v>
      </c>
      <c r="S18" s="99"/>
      <c r="T18" s="99"/>
      <c r="U18" s="99">
        <f>SUM(O18+P18+R18)</f>
        <v>10</v>
      </c>
      <c r="V18" s="98">
        <f t="shared" si="3"/>
        <v>-18160</v>
      </c>
      <c r="W18" s="99">
        <v>60</v>
      </c>
      <c r="X18" s="98">
        <f>-Administration!K37</f>
        <v>-20000</v>
      </c>
      <c r="Y18" s="99"/>
      <c r="Z18" s="99"/>
      <c r="AA18" s="99">
        <f>SUM(U18+W18+Y18:Y18)</f>
        <v>70</v>
      </c>
      <c r="AB18" s="98">
        <f t="shared" si="4"/>
        <v>-38160</v>
      </c>
      <c r="AC18" s="99">
        <v>60</v>
      </c>
      <c r="AD18" s="98">
        <f>-Administration!L37</f>
        <v>-20000</v>
      </c>
      <c r="AE18" s="99"/>
      <c r="AF18" s="99">
        <v>40000</v>
      </c>
      <c r="AG18" s="99">
        <f>SUM(AA18+AC18+AE18:AE18)</f>
        <v>130</v>
      </c>
      <c r="AH18" s="98">
        <f t="shared" ref="AH18" si="7">AB18+AD18+AF18</f>
        <v>-18160</v>
      </c>
      <c r="AI18" s="99">
        <v>60</v>
      </c>
      <c r="AJ18" s="98">
        <f>-Administration!M37</f>
        <v>-20000</v>
      </c>
      <c r="AK18" s="99"/>
      <c r="AL18" s="99"/>
      <c r="AM18" s="99">
        <f>SUM(AG18+AI18+AK18:AK18)</f>
        <v>190</v>
      </c>
      <c r="AN18" s="98">
        <f t="shared" si="6"/>
        <v>-38160</v>
      </c>
    </row>
    <row r="19" spans="1:41" ht="15.75" customHeight="1" thickBot="1" x14ac:dyDescent="0.3">
      <c r="A19" s="158"/>
      <c r="B19" s="112"/>
      <c r="C19" s="113"/>
      <c r="D19" s="113"/>
      <c r="E19" s="114"/>
      <c r="F19" s="115"/>
      <c r="G19" s="116"/>
      <c r="H19" s="116"/>
      <c r="I19" s="106"/>
      <c r="J19" s="107"/>
      <c r="K19" s="107"/>
      <c r="L19" s="106"/>
      <c r="M19" s="107"/>
      <c r="N19" s="107"/>
      <c r="O19" s="106"/>
      <c r="P19" s="107"/>
      <c r="Q19" s="107"/>
      <c r="R19" s="107"/>
      <c r="S19" s="107"/>
      <c r="T19" s="107"/>
      <c r="U19" s="107"/>
      <c r="V19" s="106"/>
      <c r="W19" s="107"/>
      <c r="X19" s="107"/>
      <c r="Y19" s="107"/>
      <c r="Z19" s="107"/>
      <c r="AA19" s="107"/>
      <c r="AB19" s="106"/>
      <c r="AC19" s="107"/>
      <c r="AD19" s="107"/>
      <c r="AE19" s="107"/>
      <c r="AF19" s="107"/>
      <c r="AG19" s="107"/>
      <c r="AH19" s="106"/>
      <c r="AI19" s="107"/>
      <c r="AJ19" s="107"/>
      <c r="AK19" s="107"/>
      <c r="AL19" s="107"/>
      <c r="AM19" s="107"/>
      <c r="AN19" s="106"/>
    </row>
    <row r="20" spans="1:41" ht="15.75" thickBot="1" x14ac:dyDescent="0.3">
      <c r="A20" s="117" t="s">
        <v>216</v>
      </c>
      <c r="B20" s="118">
        <f t="shared" ref="B20:AN20" si="8">SUM(B14:B19)</f>
        <v>-716600</v>
      </c>
      <c r="C20" s="118">
        <f t="shared" si="8"/>
        <v>-346300</v>
      </c>
      <c r="D20" s="118">
        <f t="shared" si="8"/>
        <v>73506.87</v>
      </c>
      <c r="E20" s="118">
        <f t="shared" si="8"/>
        <v>0</v>
      </c>
      <c r="F20" s="119">
        <f t="shared" si="8"/>
        <v>587</v>
      </c>
      <c r="G20" s="119">
        <f t="shared" si="8"/>
        <v>160</v>
      </c>
      <c r="H20" s="119">
        <f t="shared" si="8"/>
        <v>-60</v>
      </c>
      <c r="I20" s="120">
        <f t="shared" si="8"/>
        <v>687</v>
      </c>
      <c r="J20" s="120">
        <f t="shared" si="8"/>
        <v>210</v>
      </c>
      <c r="K20" s="120">
        <f t="shared" si="8"/>
        <v>-334</v>
      </c>
      <c r="L20" s="120">
        <f t="shared" si="8"/>
        <v>563</v>
      </c>
      <c r="M20" s="120">
        <f t="shared" si="8"/>
        <v>53</v>
      </c>
      <c r="N20" s="121">
        <f t="shared" si="8"/>
        <v>0</v>
      </c>
      <c r="O20" s="108">
        <f t="shared" si="8"/>
        <v>0</v>
      </c>
      <c r="P20" s="109">
        <f t="shared" si="8"/>
        <v>60</v>
      </c>
      <c r="Q20" s="110">
        <f t="shared" si="8"/>
        <v>-78860</v>
      </c>
      <c r="R20" s="109">
        <f t="shared" si="8"/>
        <v>-50</v>
      </c>
      <c r="S20" s="110">
        <f t="shared" si="8"/>
        <v>0</v>
      </c>
      <c r="T20" s="110">
        <f t="shared" si="8"/>
        <v>0</v>
      </c>
      <c r="U20" s="109">
        <f t="shared" si="8"/>
        <v>10</v>
      </c>
      <c r="V20" s="110">
        <f t="shared" si="8"/>
        <v>-78860</v>
      </c>
      <c r="W20" s="109">
        <f t="shared" si="8"/>
        <v>60</v>
      </c>
      <c r="X20" s="110">
        <f t="shared" si="8"/>
        <v>-130700</v>
      </c>
      <c r="Y20" s="109">
        <f t="shared" si="8"/>
        <v>0</v>
      </c>
      <c r="Z20" s="110">
        <f t="shared" si="8"/>
        <v>0</v>
      </c>
      <c r="AA20" s="109">
        <f t="shared" si="8"/>
        <v>70</v>
      </c>
      <c r="AB20" s="110">
        <f t="shared" si="8"/>
        <v>-209560</v>
      </c>
      <c r="AC20" s="109">
        <f t="shared" si="8"/>
        <v>60</v>
      </c>
      <c r="AD20" s="110">
        <f t="shared" si="8"/>
        <v>-130700</v>
      </c>
      <c r="AE20" s="109">
        <f t="shared" si="8"/>
        <v>0</v>
      </c>
      <c r="AF20" s="110">
        <f t="shared" si="8"/>
        <v>40000</v>
      </c>
      <c r="AG20" s="109">
        <f t="shared" si="8"/>
        <v>130</v>
      </c>
      <c r="AH20" s="110">
        <f t="shared" si="8"/>
        <v>-300260</v>
      </c>
      <c r="AI20" s="109">
        <f t="shared" si="8"/>
        <v>60</v>
      </c>
      <c r="AJ20" s="110">
        <f t="shared" si="8"/>
        <v>-130700</v>
      </c>
      <c r="AK20" s="109">
        <f t="shared" si="8"/>
        <v>0</v>
      </c>
      <c r="AL20" s="110">
        <f t="shared" si="8"/>
        <v>0</v>
      </c>
      <c r="AM20" s="109">
        <f t="shared" si="8"/>
        <v>190</v>
      </c>
      <c r="AN20" s="110">
        <f t="shared" si="8"/>
        <v>-430960</v>
      </c>
    </row>
    <row r="21" spans="1:41" x14ac:dyDescent="0.25">
      <c r="A21" s="51"/>
      <c r="B21" s="57"/>
      <c r="C21" s="57"/>
      <c r="D21" s="57"/>
      <c r="E21" s="57"/>
      <c r="F21" s="58"/>
      <c r="G21" s="58"/>
      <c r="H21" s="58"/>
      <c r="I21" s="59"/>
      <c r="J21" s="59"/>
      <c r="K21" s="59"/>
      <c r="L21" s="59"/>
      <c r="M21" s="59"/>
      <c r="N21" s="59"/>
      <c r="O21" s="59"/>
      <c r="P21" s="60"/>
      <c r="Q21" s="59"/>
      <c r="R21" s="60"/>
      <c r="S21" s="60"/>
      <c r="T21" s="59"/>
      <c r="U21" s="60"/>
      <c r="V21" s="59"/>
      <c r="W21" s="60"/>
      <c r="X21" s="59"/>
      <c r="Y21" s="60"/>
      <c r="Z21" s="59"/>
      <c r="AA21" s="60"/>
      <c r="AB21" s="59"/>
      <c r="AC21" s="60"/>
      <c r="AD21" s="59"/>
      <c r="AE21" s="60"/>
      <c r="AF21" s="59"/>
      <c r="AG21" s="60"/>
      <c r="AH21" s="59"/>
      <c r="AI21" s="60"/>
      <c r="AJ21" s="59"/>
      <c r="AK21" s="60"/>
      <c r="AL21" s="59"/>
      <c r="AM21" s="60"/>
      <c r="AN21" s="59"/>
    </row>
    <row r="22" spans="1:41" x14ac:dyDescent="0.25">
      <c r="A22" s="65"/>
      <c r="B22" s="61"/>
      <c r="C22" s="57"/>
      <c r="D22" s="57"/>
      <c r="E22" s="57"/>
      <c r="F22" s="58"/>
      <c r="G22" s="58"/>
      <c r="H22" s="58"/>
      <c r="I22" s="59"/>
      <c r="J22" s="59"/>
      <c r="K22" s="59"/>
      <c r="L22" s="59"/>
      <c r="M22" s="59"/>
      <c r="N22" s="59"/>
      <c r="O22" s="59"/>
      <c r="P22" s="60"/>
      <c r="Q22" s="59"/>
      <c r="R22" s="60"/>
      <c r="S22" s="60"/>
      <c r="T22" s="59"/>
      <c r="U22" s="60"/>
      <c r="V22" s="59"/>
      <c r="W22" s="60"/>
      <c r="X22" s="59"/>
      <c r="Y22" s="60"/>
      <c r="Z22" s="59"/>
      <c r="AA22" s="60"/>
      <c r="AB22" s="59"/>
      <c r="AC22" s="60"/>
      <c r="AD22" s="59"/>
      <c r="AE22" s="60"/>
      <c r="AF22" s="59"/>
      <c r="AG22" s="60"/>
      <c r="AH22" s="59"/>
      <c r="AI22" s="60"/>
      <c r="AJ22" s="59"/>
      <c r="AK22" s="60"/>
      <c r="AL22" s="59"/>
      <c r="AM22" s="60"/>
      <c r="AN22" s="59"/>
    </row>
    <row r="23" spans="1:41" ht="13.5" customHeight="1" x14ac:dyDescent="0.25">
      <c r="A23" s="66"/>
      <c r="B23" s="61"/>
      <c r="C23" s="67"/>
      <c r="D23" s="67"/>
      <c r="E23" s="68"/>
      <c r="F23" s="63"/>
      <c r="G23" s="69"/>
      <c r="H23" s="69"/>
      <c r="I23" s="64"/>
      <c r="J23" s="70"/>
      <c r="K23" s="70"/>
      <c r="L23" s="64"/>
      <c r="M23" s="70"/>
      <c r="N23" s="70"/>
      <c r="O23" s="64"/>
      <c r="P23" s="70"/>
      <c r="Q23" s="70"/>
      <c r="R23" s="70"/>
      <c r="S23" s="70"/>
      <c r="T23" s="70"/>
      <c r="U23" s="70"/>
      <c r="V23" s="64"/>
      <c r="W23" s="70"/>
      <c r="X23" s="70"/>
      <c r="Y23" s="70"/>
      <c r="Z23" s="70"/>
      <c r="AA23" s="70"/>
      <c r="AB23" s="64"/>
      <c r="AC23" s="70"/>
      <c r="AD23" s="70"/>
      <c r="AE23" s="70"/>
      <c r="AF23" s="70"/>
      <c r="AG23" s="70"/>
      <c r="AH23" s="64"/>
      <c r="AI23" s="70"/>
      <c r="AJ23" s="70"/>
      <c r="AK23" s="70"/>
      <c r="AL23" s="70"/>
      <c r="AM23" s="70"/>
      <c r="AN23" s="64"/>
    </row>
    <row r="24" spans="1:41" ht="15.75" customHeight="1" x14ac:dyDescent="0.25">
      <c r="A24" s="66"/>
      <c r="B24" s="61"/>
      <c r="C24" s="67"/>
      <c r="D24" s="71"/>
      <c r="E24" s="72"/>
      <c r="F24" s="63"/>
      <c r="G24" s="69"/>
      <c r="H24" s="69"/>
      <c r="I24" s="64"/>
      <c r="J24" s="70"/>
      <c r="K24" s="70"/>
      <c r="L24" s="64"/>
      <c r="M24" s="70"/>
      <c r="N24" s="70"/>
      <c r="O24" s="64"/>
      <c r="P24" s="70"/>
      <c r="Q24" s="70"/>
      <c r="R24" s="70"/>
      <c r="S24" s="70"/>
      <c r="T24" s="70"/>
      <c r="U24" s="70"/>
      <c r="V24" s="64"/>
      <c r="W24" s="70"/>
      <c r="X24" s="70"/>
      <c r="Y24" s="70"/>
      <c r="Z24" s="70"/>
      <c r="AA24" s="70"/>
      <c r="AB24" s="64"/>
      <c r="AC24" s="70"/>
      <c r="AD24" s="70"/>
      <c r="AE24" s="70"/>
      <c r="AF24" s="70"/>
      <c r="AG24" s="70"/>
      <c r="AH24" s="64"/>
      <c r="AI24" s="70"/>
      <c r="AJ24" s="70"/>
      <c r="AK24" s="70"/>
      <c r="AL24" s="70"/>
      <c r="AM24" s="70"/>
      <c r="AN24" s="64"/>
    </row>
    <row r="25" spans="1:41" x14ac:dyDescent="0.25">
      <c r="A25" s="65"/>
      <c r="B25" s="57"/>
      <c r="C25" s="57"/>
      <c r="D25" s="57"/>
      <c r="E25" s="57"/>
      <c r="F25" s="58"/>
      <c r="G25" s="58"/>
      <c r="H25" s="58"/>
      <c r="I25" s="59"/>
      <c r="J25" s="59"/>
      <c r="K25" s="59"/>
      <c r="L25" s="59"/>
      <c r="M25" s="59"/>
      <c r="N25" s="59"/>
      <c r="O25" s="59"/>
      <c r="P25" s="73"/>
      <c r="Q25" s="59"/>
      <c r="R25" s="73"/>
      <c r="S25" s="73"/>
      <c r="T25" s="59"/>
      <c r="U25" s="73"/>
      <c r="V25" s="59"/>
      <c r="W25" s="73"/>
      <c r="X25" s="59"/>
      <c r="Y25" s="73"/>
      <c r="Z25" s="59"/>
      <c r="AA25" s="73"/>
      <c r="AB25" s="59"/>
      <c r="AC25" s="73"/>
      <c r="AD25" s="59"/>
      <c r="AE25" s="73"/>
      <c r="AF25" s="59"/>
      <c r="AG25" s="73"/>
      <c r="AH25" s="59"/>
      <c r="AI25" s="73"/>
      <c r="AJ25" s="59"/>
      <c r="AK25" s="73"/>
      <c r="AL25" s="59"/>
      <c r="AM25" s="73"/>
      <c r="AN25" s="59"/>
    </row>
    <row r="26" spans="1:41" x14ac:dyDescent="0.25">
      <c r="A26" s="74"/>
      <c r="B26" s="57"/>
      <c r="C26" s="57"/>
      <c r="D26" s="57"/>
      <c r="E26" s="57"/>
      <c r="F26" s="58"/>
      <c r="G26" s="58"/>
      <c r="H26" s="58"/>
      <c r="I26" s="59"/>
      <c r="J26" s="59"/>
      <c r="K26" s="59"/>
      <c r="L26" s="59"/>
      <c r="M26" s="59"/>
      <c r="N26" s="59"/>
      <c r="O26" s="59"/>
      <c r="P26" s="62"/>
      <c r="Q26" s="59"/>
      <c r="R26" s="62"/>
      <c r="S26" s="62"/>
      <c r="T26" s="59"/>
      <c r="U26" s="62"/>
      <c r="V26" s="59"/>
      <c r="W26" s="62"/>
      <c r="X26" s="59"/>
      <c r="Y26" s="62"/>
      <c r="Z26" s="59"/>
      <c r="AA26" s="62"/>
      <c r="AB26" s="59"/>
      <c r="AC26" s="62"/>
      <c r="AD26" s="59"/>
      <c r="AE26" s="62"/>
      <c r="AF26" s="59"/>
      <c r="AG26" s="62"/>
      <c r="AH26" s="59"/>
      <c r="AI26" s="62"/>
      <c r="AJ26" s="59"/>
      <c r="AK26" s="62"/>
      <c r="AL26" s="59"/>
      <c r="AM26" s="62"/>
      <c r="AN26" s="59"/>
    </row>
    <row r="27" spans="1:41" x14ac:dyDescent="0.25">
      <c r="A27" s="65"/>
      <c r="B27" s="61"/>
      <c r="C27" s="61"/>
      <c r="D27" s="61"/>
      <c r="E27" s="61"/>
      <c r="F27" s="63"/>
      <c r="G27" s="63"/>
      <c r="H27" s="63"/>
      <c r="I27" s="64"/>
      <c r="J27" s="64"/>
      <c r="K27" s="64"/>
      <c r="L27" s="64"/>
      <c r="M27" s="64"/>
      <c r="N27" s="64"/>
      <c r="O27" s="64"/>
      <c r="P27" s="70"/>
      <c r="Q27" s="64"/>
      <c r="R27" s="70"/>
      <c r="S27" s="70"/>
      <c r="T27" s="64"/>
      <c r="U27" s="70"/>
      <c r="V27" s="64"/>
      <c r="W27" s="70"/>
      <c r="X27" s="64"/>
      <c r="Y27" s="70"/>
      <c r="Z27" s="64"/>
      <c r="AA27" s="70"/>
      <c r="AB27" s="64"/>
      <c r="AC27" s="70"/>
      <c r="AD27" s="64"/>
      <c r="AE27" s="70"/>
      <c r="AF27" s="64"/>
      <c r="AG27" s="70"/>
      <c r="AH27" s="64"/>
      <c r="AI27" s="70"/>
      <c r="AJ27" s="64"/>
      <c r="AK27" s="70"/>
      <c r="AL27" s="64"/>
      <c r="AM27" s="70"/>
      <c r="AN27" s="64"/>
    </row>
    <row r="28" spans="1:41" x14ac:dyDescent="0.25">
      <c r="A28" s="74"/>
      <c r="B28" s="57"/>
      <c r="C28" s="57"/>
      <c r="D28" s="57"/>
      <c r="E28" s="57"/>
      <c r="F28" s="58"/>
      <c r="G28" s="58"/>
      <c r="H28" s="5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59"/>
      <c r="W28" s="59"/>
      <c r="X28" s="59"/>
      <c r="Y28" s="59"/>
      <c r="Z28" s="59"/>
      <c r="AA28" s="60"/>
      <c r="AB28" s="59"/>
      <c r="AC28" s="59"/>
      <c r="AD28" s="59"/>
      <c r="AE28" s="59"/>
      <c r="AF28" s="59"/>
      <c r="AG28" s="60"/>
      <c r="AH28" s="59"/>
      <c r="AI28" s="59"/>
      <c r="AJ28" s="59"/>
      <c r="AK28" s="59"/>
      <c r="AL28" s="59"/>
      <c r="AM28" s="60"/>
      <c r="AN28" s="59"/>
    </row>
    <row r="29" spans="1:41" x14ac:dyDescent="0.25">
      <c r="A29" s="66"/>
      <c r="B29" s="61"/>
      <c r="C29" s="67"/>
      <c r="D29" s="67"/>
      <c r="E29" s="68"/>
      <c r="F29" s="63"/>
      <c r="G29" s="69"/>
      <c r="H29" s="69"/>
      <c r="I29" s="64"/>
      <c r="J29" s="70"/>
      <c r="K29" s="70"/>
      <c r="L29" s="64"/>
      <c r="M29" s="70"/>
      <c r="N29" s="70"/>
      <c r="O29" s="59"/>
      <c r="P29" s="62"/>
      <c r="Q29" s="60"/>
      <c r="R29" s="62"/>
      <c r="S29" s="62"/>
      <c r="T29" s="60"/>
      <c r="U29" s="62"/>
      <c r="V29" s="60"/>
      <c r="W29" s="62"/>
      <c r="X29" s="60"/>
      <c r="Y29" s="62"/>
      <c r="Z29" s="60"/>
      <c r="AA29" s="62"/>
      <c r="AB29" s="60"/>
      <c r="AC29" s="62"/>
      <c r="AD29" s="60"/>
      <c r="AE29" s="62"/>
      <c r="AF29" s="60"/>
      <c r="AG29" s="62"/>
      <c r="AH29" s="60"/>
      <c r="AI29" s="62"/>
      <c r="AJ29" s="60"/>
      <c r="AK29" s="62"/>
      <c r="AL29" s="60"/>
      <c r="AM29" s="62"/>
      <c r="AN29" s="60"/>
    </row>
    <row r="30" spans="1:41" x14ac:dyDescent="0.25">
      <c r="A30" s="66"/>
      <c r="B30" s="61"/>
      <c r="C30" s="67"/>
      <c r="D30" s="67"/>
      <c r="E30" s="68"/>
      <c r="F30" s="63"/>
      <c r="G30" s="69"/>
      <c r="H30" s="69"/>
      <c r="I30" s="64"/>
      <c r="J30" s="70"/>
      <c r="K30" s="70"/>
      <c r="L30" s="64"/>
      <c r="M30" s="70"/>
      <c r="N30" s="70"/>
      <c r="O30" s="64"/>
      <c r="P30" s="75"/>
      <c r="Q30" s="70"/>
      <c r="R30" s="75"/>
      <c r="S30" s="75"/>
      <c r="T30" s="70"/>
      <c r="U30" s="75"/>
      <c r="V30" s="64"/>
      <c r="W30" s="75"/>
      <c r="X30" s="70"/>
      <c r="Y30" s="75"/>
      <c r="Z30" s="70"/>
      <c r="AA30" s="75"/>
      <c r="AB30" s="64"/>
      <c r="AC30" s="75"/>
      <c r="AD30" s="70"/>
      <c r="AE30" s="75"/>
      <c r="AF30" s="70"/>
      <c r="AG30" s="75"/>
      <c r="AH30" s="64"/>
      <c r="AI30" s="75"/>
      <c r="AJ30" s="70"/>
      <c r="AK30" s="75"/>
      <c r="AL30" s="70"/>
      <c r="AM30" s="75"/>
      <c r="AN30" s="64"/>
    </row>
    <row r="31" spans="1:41" x14ac:dyDescent="0.25">
      <c r="A31" s="66"/>
      <c r="B31" s="76"/>
      <c r="C31" s="71"/>
      <c r="D31" s="71"/>
      <c r="E31" s="72"/>
      <c r="F31" s="63"/>
      <c r="G31" s="69"/>
      <c r="H31" s="69"/>
      <c r="I31" s="64"/>
      <c r="J31" s="70"/>
      <c r="K31" s="70"/>
      <c r="L31" s="64"/>
      <c r="M31" s="70"/>
      <c r="N31" s="70"/>
      <c r="O31" s="64"/>
      <c r="P31" s="70"/>
      <c r="Q31" s="70"/>
      <c r="R31" s="70"/>
      <c r="S31" s="70"/>
      <c r="T31" s="70"/>
      <c r="U31" s="70"/>
      <c r="V31" s="64"/>
      <c r="W31" s="70"/>
      <c r="X31" s="70"/>
      <c r="Y31" s="70"/>
      <c r="Z31" s="70"/>
      <c r="AA31" s="70"/>
      <c r="AB31" s="64"/>
      <c r="AC31" s="70"/>
      <c r="AD31" s="70"/>
      <c r="AE31" s="70"/>
      <c r="AF31" s="70"/>
      <c r="AG31" s="70"/>
      <c r="AH31" s="64"/>
      <c r="AI31" s="70"/>
      <c r="AJ31" s="70"/>
      <c r="AK31" s="70"/>
      <c r="AL31" s="70"/>
      <c r="AM31" s="70"/>
      <c r="AN31" s="64"/>
    </row>
    <row r="32" spans="1:41" s="48" customFormat="1" x14ac:dyDescent="0.25">
      <c r="A32" s="77"/>
      <c r="B32" s="71"/>
      <c r="C32" s="66"/>
      <c r="D32" s="66"/>
      <c r="E32" s="74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78"/>
      <c r="Q32" s="78"/>
      <c r="R32" s="78"/>
      <c r="S32" s="78"/>
      <c r="T32" s="70"/>
      <c r="U32" s="70"/>
      <c r="V32" s="64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49"/>
    </row>
    <row r="33" spans="1:41" s="48" customFormat="1" x14ac:dyDescent="0.25">
      <c r="A33" s="77"/>
      <c r="B33" s="71"/>
      <c r="C33" s="66"/>
      <c r="D33" s="66"/>
      <c r="E33" s="74"/>
      <c r="F33" s="78"/>
      <c r="G33" s="78"/>
      <c r="H33" s="78"/>
      <c r="I33" s="78"/>
      <c r="J33" s="78"/>
      <c r="K33" s="78"/>
      <c r="L33" s="78"/>
      <c r="M33" s="78"/>
      <c r="N33" s="78"/>
      <c r="O33" s="59"/>
      <c r="P33" s="62"/>
      <c r="Q33" s="59"/>
      <c r="R33" s="62"/>
      <c r="S33" s="62"/>
      <c r="T33" s="59"/>
      <c r="U33" s="62"/>
      <c r="V33" s="59"/>
      <c r="W33" s="62"/>
      <c r="X33" s="59"/>
      <c r="Y33" s="62"/>
      <c r="Z33" s="59"/>
      <c r="AA33" s="62"/>
      <c r="AB33" s="59"/>
      <c r="AC33" s="62"/>
      <c r="AD33" s="59"/>
      <c r="AE33" s="62"/>
      <c r="AF33" s="59"/>
      <c r="AG33" s="62"/>
      <c r="AH33" s="59"/>
      <c r="AI33" s="62"/>
      <c r="AJ33" s="59"/>
      <c r="AK33" s="62"/>
      <c r="AL33" s="59"/>
      <c r="AM33" s="62"/>
      <c r="AN33" s="59"/>
      <c r="AO33" s="49"/>
    </row>
    <row r="34" spans="1:41" s="48" customFormat="1" x14ac:dyDescent="0.25">
      <c r="A34" s="77"/>
      <c r="B34" s="71"/>
      <c r="C34" s="66"/>
      <c r="D34" s="66"/>
      <c r="E34" s="74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78"/>
      <c r="Q34" s="78"/>
      <c r="R34" s="78"/>
      <c r="S34" s="78"/>
      <c r="T34" s="78"/>
      <c r="U34" s="78"/>
      <c r="V34" s="78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49"/>
    </row>
    <row r="35" spans="1:41" s="48" customFormat="1" x14ac:dyDescent="0.25">
      <c r="A35" s="77"/>
      <c r="B35" s="71"/>
      <c r="C35" s="66"/>
      <c r="D35" s="66"/>
      <c r="E35" s="74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78"/>
      <c r="Q35" s="78"/>
      <c r="R35" s="78"/>
      <c r="S35" s="78"/>
      <c r="T35" s="78"/>
      <c r="U35" s="78"/>
      <c r="V35" s="78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49"/>
    </row>
    <row r="36" spans="1:41" s="48" customFormat="1" x14ac:dyDescent="0.25">
      <c r="A36" s="55"/>
      <c r="B36" s="56"/>
      <c r="C36" s="49"/>
      <c r="D36" s="49"/>
      <c r="E36" s="51"/>
      <c r="O36" s="52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41" spans="1:41" s="48" customFormat="1" ht="12.75" customHeight="1" x14ac:dyDescent="0.25">
      <c r="A41" s="55"/>
      <c r="B41" s="56"/>
      <c r="C41" s="49"/>
      <c r="D41" s="49"/>
      <c r="E41" s="51"/>
      <c r="O41" s="52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s="48" customFormat="1" x14ac:dyDescent="0.25">
      <c r="A42" s="55"/>
      <c r="B42" s="56"/>
      <c r="C42" s="49"/>
      <c r="D42" s="49"/>
      <c r="E42" s="51"/>
      <c r="O42" s="52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</row>
    <row r="43" spans="1:41" s="56" customFormat="1" x14ac:dyDescent="0.25">
      <c r="A43" s="55"/>
      <c r="C43" s="49"/>
      <c r="D43" s="49"/>
      <c r="E43" s="51"/>
      <c r="F43" s="48"/>
      <c r="G43" s="48"/>
      <c r="H43" s="48"/>
      <c r="I43" s="48"/>
      <c r="J43" s="48"/>
      <c r="K43" s="48"/>
      <c r="L43" s="48"/>
      <c r="M43" s="48"/>
      <c r="N43" s="48"/>
      <c r="O43" s="52"/>
      <c r="P43" s="48"/>
      <c r="Q43" s="48"/>
      <c r="R43" s="48"/>
      <c r="S43" s="48"/>
      <c r="T43" s="48"/>
      <c r="U43" s="48"/>
      <c r="V43" s="48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</row>
    <row r="44" spans="1:41" s="56" customFormat="1" x14ac:dyDescent="0.25">
      <c r="A44" s="55"/>
      <c r="C44" s="49"/>
      <c r="D44" s="49"/>
      <c r="E44" s="51"/>
      <c r="F44" s="48"/>
      <c r="G44" s="48"/>
      <c r="H44" s="48"/>
      <c r="I44" s="48"/>
      <c r="J44" s="48"/>
      <c r="K44" s="48"/>
      <c r="L44" s="48"/>
      <c r="M44" s="48"/>
      <c r="N44" s="48"/>
      <c r="O44" s="52"/>
      <c r="P44" s="48"/>
      <c r="Q44" s="48"/>
      <c r="R44" s="48"/>
      <c r="S44" s="48"/>
      <c r="T44" s="48"/>
      <c r="U44" s="48"/>
      <c r="V44" s="48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</row>
    <row r="45" spans="1:41" s="56" customFormat="1" x14ac:dyDescent="0.25">
      <c r="A45" s="55"/>
      <c r="C45" s="49"/>
      <c r="D45" s="49"/>
      <c r="E45" s="51"/>
      <c r="F45" s="48"/>
      <c r="G45" s="48"/>
      <c r="H45" s="48"/>
      <c r="I45" s="48"/>
      <c r="J45" s="48"/>
      <c r="K45" s="48"/>
      <c r="L45" s="48"/>
      <c r="M45" s="48"/>
      <c r="N45" s="48"/>
      <c r="O45" s="52"/>
      <c r="P45" s="48"/>
      <c r="Q45" s="48"/>
      <c r="R45" s="48"/>
      <c r="S45" s="48"/>
      <c r="T45" s="48"/>
      <c r="U45" s="48"/>
      <c r="V45" s="48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1" s="56" customFormat="1" x14ac:dyDescent="0.25">
      <c r="A46" s="55"/>
      <c r="C46" s="49"/>
      <c r="D46" s="49"/>
      <c r="E46" s="51"/>
      <c r="F46" s="48"/>
      <c r="G46" s="48"/>
      <c r="H46" s="48"/>
      <c r="I46" s="48"/>
      <c r="J46" s="48"/>
      <c r="K46" s="48"/>
      <c r="L46" s="48"/>
      <c r="M46" s="48"/>
      <c r="N46" s="48"/>
      <c r="O46" s="52"/>
      <c r="P46" s="48"/>
      <c r="Q46" s="48"/>
      <c r="R46" s="48"/>
      <c r="S46" s="48"/>
      <c r="T46" s="48"/>
      <c r="U46" s="48"/>
      <c r="V46" s="48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1:41" s="56" customFormat="1" x14ac:dyDescent="0.25">
      <c r="A47" s="55"/>
      <c r="C47" s="49"/>
      <c r="D47" s="49"/>
      <c r="E47" s="51"/>
      <c r="F47" s="48"/>
      <c r="G47" s="48"/>
      <c r="H47" s="48"/>
      <c r="I47" s="48"/>
      <c r="J47" s="48"/>
      <c r="K47" s="48"/>
      <c r="L47" s="48"/>
      <c r="M47" s="48"/>
      <c r="N47" s="48"/>
      <c r="O47" s="52"/>
      <c r="P47" s="48"/>
      <c r="Q47" s="48"/>
      <c r="R47" s="48"/>
      <c r="S47" s="48"/>
      <c r="T47" s="48"/>
      <c r="U47" s="48"/>
      <c r="V47" s="48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</row>
    <row r="48" spans="1:41" s="56" customFormat="1" x14ac:dyDescent="0.25">
      <c r="A48" s="55"/>
      <c r="C48" s="49"/>
      <c r="D48" s="49"/>
      <c r="E48" s="51"/>
      <c r="F48" s="48"/>
      <c r="G48" s="48"/>
      <c r="H48" s="48"/>
      <c r="I48" s="48"/>
      <c r="J48" s="48"/>
      <c r="K48" s="48"/>
      <c r="L48" s="48"/>
      <c r="M48" s="48"/>
      <c r="N48" s="48"/>
      <c r="O48" s="52"/>
      <c r="P48" s="48"/>
      <c r="Q48" s="48"/>
      <c r="R48" s="48"/>
      <c r="S48" s="48"/>
      <c r="T48" s="48"/>
      <c r="U48" s="48"/>
      <c r="V48" s="48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</row>
  </sheetData>
  <mergeCells count="35">
    <mergeCell ref="AN6:AN7"/>
    <mergeCell ref="AB6:AB7"/>
    <mergeCell ref="AC6:AF6"/>
    <mergeCell ref="AG6:AG7"/>
    <mergeCell ref="AH6:AH7"/>
    <mergeCell ref="AI6:AL6"/>
    <mergeCell ref="AM6:AM7"/>
    <mergeCell ref="AA6:AA7"/>
    <mergeCell ref="AI5:AL5"/>
    <mergeCell ref="C6:D6"/>
    <mergeCell ref="E6:E7"/>
    <mergeCell ref="F6:F7"/>
    <mergeCell ref="G6:H6"/>
    <mergeCell ref="I6:I7"/>
    <mergeCell ref="J6:K6"/>
    <mergeCell ref="L6:L7"/>
    <mergeCell ref="M6:N6"/>
    <mergeCell ref="AC5:AF5"/>
    <mergeCell ref="O6:O7"/>
    <mergeCell ref="P6:T6"/>
    <mergeCell ref="U6:U7"/>
    <mergeCell ref="V6:V7"/>
    <mergeCell ref="W6:Z6"/>
    <mergeCell ref="M4:N4"/>
    <mergeCell ref="J5:K5"/>
    <mergeCell ref="M5:N5"/>
    <mergeCell ref="P5:T5"/>
    <mergeCell ref="W5:Z5"/>
    <mergeCell ref="B1:E1"/>
    <mergeCell ref="F1:R1"/>
    <mergeCell ref="C3:E3"/>
    <mergeCell ref="G3:H3"/>
    <mergeCell ref="J3:K3"/>
    <mergeCell ref="M3:N3"/>
    <mergeCell ref="P3:R3"/>
  </mergeCells>
  <pageMargins left="0.25" right="0.25" top="0.75" bottom="0.75" header="0.3" footer="0.3"/>
  <pageSetup paperSize="9" scale="4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B18"/>
  <sheetViews>
    <sheetView workbookViewId="0">
      <selection activeCell="B16" sqref="B16:V18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8" ht="30" x14ac:dyDescent="0.25">
      <c r="B2" s="6" t="s">
        <v>74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28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28" x14ac:dyDescent="0.25"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8" x14ac:dyDescent="0.25">
      <c r="B5" s="7" t="s">
        <v>78</v>
      </c>
      <c r="C5" s="13">
        <v>400</v>
      </c>
      <c r="D5" s="10"/>
      <c r="E5" s="10"/>
      <c r="F5" s="10"/>
      <c r="G5" s="10"/>
      <c r="H5" s="13">
        <f>E5+F5-D5</f>
        <v>0</v>
      </c>
      <c r="I5" s="13"/>
      <c r="J5" s="13">
        <v>400</v>
      </c>
      <c r="K5" s="13">
        <v>400</v>
      </c>
      <c r="L5" s="13">
        <v>400</v>
      </c>
      <c r="M5" s="13">
        <v>400</v>
      </c>
      <c r="N5" s="3"/>
      <c r="O5" s="3"/>
      <c r="P5" s="3"/>
      <c r="Q5" s="3"/>
      <c r="R5" s="3"/>
      <c r="T5" s="164"/>
      <c r="U5" s="164"/>
      <c r="V5" s="164"/>
      <c r="W5" s="164"/>
      <c r="X5" s="164"/>
      <c r="Y5" s="164"/>
      <c r="Z5" s="164"/>
      <c r="AA5" s="164"/>
      <c r="AB5" s="164"/>
    </row>
    <row r="6" spans="2:28" x14ac:dyDescent="0.25">
      <c r="B6" s="7" t="s">
        <v>68</v>
      </c>
      <c r="C6" s="13">
        <v>0</v>
      </c>
      <c r="D6" s="13">
        <v>0</v>
      </c>
      <c r="E6" s="13">
        <v>75</v>
      </c>
      <c r="F6" s="10"/>
      <c r="G6" s="10"/>
      <c r="H6" s="13">
        <f>E6+F6-D6</f>
        <v>75</v>
      </c>
      <c r="I6" s="13"/>
      <c r="J6" s="13">
        <v>450</v>
      </c>
      <c r="K6" s="13">
        <f>J6*1.03</f>
        <v>463.5</v>
      </c>
      <c r="L6" s="13">
        <f t="shared" ref="L6:M6" si="0">K6*1.03</f>
        <v>477.40500000000003</v>
      </c>
      <c r="M6" s="13">
        <f t="shared" si="0"/>
        <v>491.72715000000005</v>
      </c>
      <c r="N6" s="3"/>
      <c r="O6" s="3"/>
      <c r="P6" s="3"/>
      <c r="Q6" s="3"/>
      <c r="R6" s="3"/>
      <c r="T6" s="164"/>
      <c r="U6" s="164"/>
      <c r="V6" s="164"/>
      <c r="W6" s="164"/>
      <c r="X6" s="164"/>
      <c r="Y6" s="164"/>
      <c r="Z6" s="164"/>
      <c r="AA6" s="164"/>
      <c r="AB6" s="164"/>
    </row>
    <row r="7" spans="2:28" x14ac:dyDescent="0.25">
      <c r="B7" s="7" t="s">
        <v>79</v>
      </c>
      <c r="C7" s="13">
        <v>1100</v>
      </c>
      <c r="D7" s="13">
        <v>106</v>
      </c>
      <c r="E7" s="13">
        <v>106</v>
      </c>
      <c r="F7" s="10"/>
      <c r="G7" s="10"/>
      <c r="H7" s="13">
        <f>E7+F7-D7</f>
        <v>0</v>
      </c>
      <c r="I7" s="13"/>
      <c r="J7" s="13">
        <v>1100</v>
      </c>
      <c r="K7" s="13">
        <f t="shared" ref="K7:M7" si="1">J7*1.03</f>
        <v>1133</v>
      </c>
      <c r="L7" s="13">
        <f t="shared" si="1"/>
        <v>1166.99</v>
      </c>
      <c r="M7" s="13">
        <f t="shared" si="1"/>
        <v>1201.9997000000001</v>
      </c>
      <c r="N7" s="3"/>
      <c r="O7" s="3"/>
      <c r="P7" s="3"/>
      <c r="Q7" s="3"/>
      <c r="R7" s="3"/>
      <c r="T7" s="164"/>
      <c r="U7" s="164"/>
      <c r="V7" s="164"/>
      <c r="W7" s="164"/>
      <c r="X7" s="164"/>
      <c r="Y7" s="164"/>
      <c r="Z7" s="164"/>
      <c r="AA7" s="164"/>
      <c r="AB7" s="164"/>
    </row>
    <row r="8" spans="2:28" x14ac:dyDescent="0.25">
      <c r="B8" s="6" t="s">
        <v>80</v>
      </c>
      <c r="C8" s="10">
        <f>SUM(C5:C7)</f>
        <v>1500</v>
      </c>
      <c r="D8" s="10">
        <f t="shared" ref="D8:M8" si="2">SUM(D5:D7)</f>
        <v>106</v>
      </c>
      <c r="E8" s="10">
        <f t="shared" si="2"/>
        <v>181</v>
      </c>
      <c r="F8" s="10">
        <f t="shared" si="2"/>
        <v>0</v>
      </c>
      <c r="G8" s="10">
        <f t="shared" ref="G8:I8" si="3">SUM(G5:G7)</f>
        <v>0</v>
      </c>
      <c r="H8" s="10">
        <f t="shared" si="3"/>
        <v>75</v>
      </c>
      <c r="I8" s="10">
        <f t="shared" si="3"/>
        <v>0</v>
      </c>
      <c r="J8" s="10">
        <f>SUM(J5:J7)</f>
        <v>1950</v>
      </c>
      <c r="K8" s="10">
        <f t="shared" si="2"/>
        <v>1996.5</v>
      </c>
      <c r="L8" s="10">
        <f t="shared" si="2"/>
        <v>2044.395</v>
      </c>
      <c r="M8" s="10">
        <f t="shared" si="2"/>
        <v>2093.72685</v>
      </c>
      <c r="N8" s="3"/>
      <c r="O8" s="3"/>
      <c r="P8" s="3"/>
      <c r="Q8" s="3"/>
      <c r="R8" s="3"/>
    </row>
    <row r="9" spans="2:28" x14ac:dyDescent="0.25"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"/>
      <c r="O9" s="3"/>
      <c r="P9" s="3"/>
      <c r="Q9" s="3"/>
      <c r="R9" s="3"/>
    </row>
    <row r="10" spans="2:28" x14ac:dyDescent="0.25">
      <c r="B10" s="6" t="s">
        <v>70</v>
      </c>
      <c r="C10" s="10">
        <f>C8</f>
        <v>1500</v>
      </c>
      <c r="D10" s="10">
        <f t="shared" ref="D10:M10" si="4">D8</f>
        <v>106</v>
      </c>
      <c r="E10" s="10">
        <f t="shared" si="4"/>
        <v>181</v>
      </c>
      <c r="F10" s="10">
        <f t="shared" si="4"/>
        <v>0</v>
      </c>
      <c r="G10" s="10">
        <f t="shared" ref="G10:I10" si="5">G8</f>
        <v>0</v>
      </c>
      <c r="H10" s="10">
        <f t="shared" si="5"/>
        <v>75</v>
      </c>
      <c r="I10" s="10">
        <f t="shared" si="5"/>
        <v>0</v>
      </c>
      <c r="J10" s="10">
        <f>J8</f>
        <v>1950</v>
      </c>
      <c r="K10" s="10">
        <f t="shared" si="4"/>
        <v>1996.5</v>
      </c>
      <c r="L10" s="10">
        <f t="shared" si="4"/>
        <v>2044.395</v>
      </c>
      <c r="M10" s="10">
        <f t="shared" si="4"/>
        <v>2093.72685</v>
      </c>
      <c r="N10" s="3"/>
      <c r="O10" s="3"/>
      <c r="P10" s="3"/>
      <c r="Q10" s="3"/>
      <c r="R10" s="3"/>
    </row>
    <row r="11" spans="2:28" x14ac:dyDescent="0.2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28" x14ac:dyDescent="0.25">
      <c r="B12" s="6" t="s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>E12+F12-D12</f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3"/>
      <c r="O12" s="3"/>
      <c r="P12" s="3"/>
      <c r="Q12" s="3"/>
      <c r="R12" s="3"/>
    </row>
    <row r="13" spans="2:28" x14ac:dyDescent="0.2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28" x14ac:dyDescent="0.25">
      <c r="B14" s="6" t="s">
        <v>73</v>
      </c>
      <c r="C14" s="10">
        <f>C10+C12</f>
        <v>1500</v>
      </c>
      <c r="D14" s="10">
        <f t="shared" ref="D14:M14" si="6">D10+D12</f>
        <v>106</v>
      </c>
      <c r="E14" s="10">
        <f t="shared" si="6"/>
        <v>181</v>
      </c>
      <c r="F14" s="10">
        <f t="shared" si="6"/>
        <v>0</v>
      </c>
      <c r="G14" s="10">
        <f t="shared" ref="G14:I14" si="7">G10+G12</f>
        <v>0</v>
      </c>
      <c r="H14" s="10">
        <f t="shared" si="7"/>
        <v>75</v>
      </c>
      <c r="I14" s="10">
        <f t="shared" si="7"/>
        <v>0</v>
      </c>
      <c r="J14" s="10">
        <f>J10+J12</f>
        <v>1950</v>
      </c>
      <c r="K14" s="10">
        <f t="shared" si="6"/>
        <v>1996.5</v>
      </c>
      <c r="L14" s="10">
        <f t="shared" si="6"/>
        <v>2044.395</v>
      </c>
      <c r="M14" s="10">
        <f t="shared" si="6"/>
        <v>2093.72685</v>
      </c>
      <c r="N14" s="3"/>
      <c r="O14" s="3"/>
      <c r="P14" s="3"/>
      <c r="Q14" s="3"/>
      <c r="R14" s="3"/>
    </row>
    <row r="16" spans="2:28" x14ac:dyDescent="0.25">
      <c r="B16" s="2"/>
    </row>
    <row r="17" spans="2:13" ht="15" customHeight="1" x14ac:dyDescent="0.25">
      <c r="B17" s="2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2:13" x14ac:dyDescent="0.25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</sheetData>
  <mergeCells count="1">
    <mergeCell ref="T5:AB7"/>
  </mergeCells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T18"/>
  <sheetViews>
    <sheetView workbookViewId="0">
      <selection activeCell="M29" sqref="M29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57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81</v>
      </c>
      <c r="C5" s="13">
        <v>1300</v>
      </c>
      <c r="D5" s="10"/>
      <c r="E5" s="10"/>
      <c r="F5" s="10"/>
      <c r="G5" s="10"/>
      <c r="H5" s="13">
        <f>E5+F5-D5</f>
        <v>0</v>
      </c>
      <c r="I5" s="13"/>
      <c r="J5" s="13">
        <v>1300</v>
      </c>
      <c r="K5" s="13">
        <v>1300</v>
      </c>
      <c r="L5" s="13">
        <v>1300</v>
      </c>
      <c r="M5" s="13">
        <v>1300</v>
      </c>
      <c r="N5" s="3"/>
      <c r="O5" s="3"/>
      <c r="P5" s="3"/>
      <c r="Q5" s="3"/>
      <c r="R5" s="3"/>
    </row>
    <row r="6" spans="2:20" x14ac:dyDescent="0.25">
      <c r="B6" s="6" t="s">
        <v>80</v>
      </c>
      <c r="C6" s="10">
        <f t="shared" ref="C6:M6" si="0">SUM(C5:C5)</f>
        <v>1300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ref="G6:I6" si="1">SUM(G5:G5)</f>
        <v>0</v>
      </c>
      <c r="H6" s="10">
        <f t="shared" si="1"/>
        <v>0</v>
      </c>
      <c r="I6" s="10">
        <f t="shared" si="1"/>
        <v>0</v>
      </c>
      <c r="J6" s="10">
        <f t="shared" ref="J6" si="2">SUM(J5:J5)</f>
        <v>1300</v>
      </c>
      <c r="K6" s="10">
        <f t="shared" si="0"/>
        <v>1300</v>
      </c>
      <c r="L6" s="10">
        <f t="shared" si="0"/>
        <v>1300</v>
      </c>
      <c r="M6" s="10">
        <f t="shared" si="0"/>
        <v>1300</v>
      </c>
      <c r="N6" s="3"/>
      <c r="O6" s="3"/>
      <c r="P6" s="3"/>
      <c r="Q6" s="3"/>
      <c r="R6" s="3"/>
    </row>
    <row r="7" spans="2:20" x14ac:dyDescent="0.2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3"/>
      <c r="P7" s="3"/>
      <c r="Q7" s="3"/>
      <c r="R7" s="3"/>
    </row>
    <row r="8" spans="2:20" x14ac:dyDescent="0.25">
      <c r="B8" s="6" t="s">
        <v>70</v>
      </c>
      <c r="C8" s="10">
        <f>C6</f>
        <v>1300</v>
      </c>
      <c r="D8" s="10">
        <f t="shared" ref="D8:M8" si="3">D6</f>
        <v>0</v>
      </c>
      <c r="E8" s="10">
        <f t="shared" si="3"/>
        <v>0</v>
      </c>
      <c r="F8" s="10">
        <f t="shared" si="3"/>
        <v>0</v>
      </c>
      <c r="G8" s="10">
        <f t="shared" ref="G8:I8" si="4">G6</f>
        <v>0</v>
      </c>
      <c r="H8" s="10">
        <f t="shared" si="4"/>
        <v>0</v>
      </c>
      <c r="I8" s="10">
        <f t="shared" si="4"/>
        <v>0</v>
      </c>
      <c r="J8" s="10">
        <f>J6</f>
        <v>1300</v>
      </c>
      <c r="K8" s="10">
        <f t="shared" si="3"/>
        <v>1300</v>
      </c>
      <c r="L8" s="10">
        <f t="shared" si="3"/>
        <v>1300</v>
      </c>
      <c r="M8" s="10">
        <f t="shared" si="3"/>
        <v>1300</v>
      </c>
      <c r="N8" s="3"/>
      <c r="O8" s="3"/>
      <c r="P8" s="3"/>
      <c r="Q8" s="3"/>
      <c r="R8" s="3"/>
    </row>
    <row r="9" spans="2:20" x14ac:dyDescent="0.25"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"/>
      <c r="O9" s="3"/>
      <c r="P9" s="3"/>
      <c r="Q9" s="3"/>
      <c r="R9" s="3"/>
    </row>
    <row r="10" spans="2:20" x14ac:dyDescent="0.25">
      <c r="B10" s="7" t="s">
        <v>147</v>
      </c>
      <c r="C10" s="13">
        <v>-80000</v>
      </c>
      <c r="D10" s="10"/>
      <c r="E10" s="10"/>
      <c r="F10" s="10"/>
      <c r="G10" s="10"/>
      <c r="H10" s="13">
        <f>E10+F10-D10</f>
        <v>0</v>
      </c>
      <c r="I10" s="13"/>
      <c r="J10" s="13">
        <v>-80000</v>
      </c>
      <c r="K10" s="13">
        <v>-80000</v>
      </c>
      <c r="L10" s="13">
        <v>-80000</v>
      </c>
      <c r="M10" s="13">
        <v>-80000</v>
      </c>
      <c r="N10" s="3"/>
      <c r="O10" s="3"/>
      <c r="P10" s="3"/>
      <c r="Q10" s="3"/>
      <c r="R10" s="3"/>
    </row>
    <row r="11" spans="2:20" x14ac:dyDescent="0.25">
      <c r="B11" s="6" t="s">
        <v>0</v>
      </c>
      <c r="C11" s="10">
        <f>C10</f>
        <v>-80000</v>
      </c>
      <c r="D11" s="10">
        <f t="shared" ref="D11:M11" si="5">D10</f>
        <v>0</v>
      </c>
      <c r="E11" s="10">
        <f t="shared" si="5"/>
        <v>0</v>
      </c>
      <c r="F11" s="10">
        <f t="shared" si="5"/>
        <v>0</v>
      </c>
      <c r="G11" s="10">
        <f t="shared" ref="G11:I11" si="6">G10</f>
        <v>0</v>
      </c>
      <c r="H11" s="10">
        <f t="shared" si="6"/>
        <v>0</v>
      </c>
      <c r="I11" s="10">
        <f t="shared" si="6"/>
        <v>0</v>
      </c>
      <c r="J11" s="10">
        <f>J10</f>
        <v>-80000</v>
      </c>
      <c r="K11" s="10">
        <f t="shared" si="5"/>
        <v>-80000</v>
      </c>
      <c r="L11" s="10">
        <f t="shared" si="5"/>
        <v>-80000</v>
      </c>
      <c r="M11" s="10">
        <f t="shared" si="5"/>
        <v>-80000</v>
      </c>
      <c r="N11" s="3"/>
      <c r="O11" s="3"/>
      <c r="P11" s="3"/>
      <c r="Q11" s="3"/>
      <c r="R11" s="3"/>
    </row>
    <row r="12" spans="2:20" x14ac:dyDescent="0.2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20" x14ac:dyDescent="0.25">
      <c r="B13" s="6" t="s">
        <v>73</v>
      </c>
      <c r="C13" s="10">
        <f t="shared" ref="C13:M13" si="7">C8+C11</f>
        <v>-78700</v>
      </c>
      <c r="D13" s="10">
        <f t="shared" si="7"/>
        <v>0</v>
      </c>
      <c r="E13" s="10">
        <f t="shared" si="7"/>
        <v>0</v>
      </c>
      <c r="F13" s="10">
        <f t="shared" si="7"/>
        <v>0</v>
      </c>
      <c r="G13" s="10">
        <f t="shared" ref="G13:I13" si="8">G8+G11</f>
        <v>0</v>
      </c>
      <c r="H13" s="10">
        <f t="shared" si="8"/>
        <v>0</v>
      </c>
      <c r="I13" s="10">
        <f t="shared" si="8"/>
        <v>0</v>
      </c>
      <c r="J13" s="10">
        <f t="shared" ref="J13" si="9">J8+J11</f>
        <v>-78700</v>
      </c>
      <c r="K13" s="10">
        <f t="shared" si="7"/>
        <v>-78700</v>
      </c>
      <c r="L13" s="10">
        <f t="shared" si="7"/>
        <v>-78700</v>
      </c>
      <c r="M13" s="10">
        <f t="shared" si="7"/>
        <v>-78700</v>
      </c>
      <c r="N13" s="3"/>
      <c r="O13" s="3"/>
      <c r="P13" s="3"/>
      <c r="Q13" s="3"/>
      <c r="R13" s="3"/>
    </row>
    <row r="15" spans="2:20" x14ac:dyDescent="0.25">
      <c r="B15" s="2"/>
    </row>
    <row r="16" spans="2:20" x14ac:dyDescent="0.25">
      <c r="B16" s="20"/>
    </row>
    <row r="17" spans="2:2" x14ac:dyDescent="0.25">
      <c r="B17" s="22"/>
    </row>
    <row r="18" spans="2:2" x14ac:dyDescent="0.25">
      <c r="B18" s="23"/>
    </row>
  </sheetData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T23"/>
  <sheetViews>
    <sheetView workbookViewId="0">
      <selection activeCell="B19" sqref="B19:L23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34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79</v>
      </c>
      <c r="C5" s="13">
        <v>0</v>
      </c>
      <c r="D5" s="13">
        <v>0</v>
      </c>
      <c r="E5" s="13">
        <v>171</v>
      </c>
      <c r="F5" s="13">
        <v>120</v>
      </c>
      <c r="G5" s="13"/>
      <c r="H5" s="13">
        <f>E5+F5-D5</f>
        <v>291</v>
      </c>
      <c r="I5" s="13"/>
      <c r="J5" s="13">
        <v>1345</v>
      </c>
      <c r="K5" s="13">
        <f>J5*1.03</f>
        <v>1385.3500000000001</v>
      </c>
      <c r="L5" s="13">
        <f t="shared" ref="L5:M5" si="0">K5*1.03</f>
        <v>1426.9105000000002</v>
      </c>
      <c r="M5" s="13">
        <f t="shared" si="0"/>
        <v>1469.7178150000002</v>
      </c>
      <c r="N5" s="3"/>
      <c r="O5" s="3"/>
      <c r="P5" s="3"/>
      <c r="Q5" s="3"/>
      <c r="R5" s="3"/>
    </row>
    <row r="6" spans="2:20" x14ac:dyDescent="0.25">
      <c r="B6" s="6" t="s">
        <v>80</v>
      </c>
      <c r="C6" s="10">
        <f t="shared" ref="C6:M6" si="1">SUM(C5:C5)</f>
        <v>0</v>
      </c>
      <c r="D6" s="10">
        <f t="shared" si="1"/>
        <v>0</v>
      </c>
      <c r="E6" s="10">
        <f t="shared" si="1"/>
        <v>171</v>
      </c>
      <c r="F6" s="10">
        <f t="shared" si="1"/>
        <v>120</v>
      </c>
      <c r="G6" s="10"/>
      <c r="H6" s="10">
        <f t="shared" si="1"/>
        <v>291</v>
      </c>
      <c r="I6" s="10"/>
      <c r="J6" s="10">
        <f t="shared" ref="J6" si="2">SUM(J5:J5)</f>
        <v>1345</v>
      </c>
      <c r="K6" s="10">
        <f t="shared" si="1"/>
        <v>1385.3500000000001</v>
      </c>
      <c r="L6" s="10">
        <f t="shared" si="1"/>
        <v>1426.9105000000002</v>
      </c>
      <c r="M6" s="10">
        <f t="shared" si="1"/>
        <v>1469.7178150000002</v>
      </c>
      <c r="N6" s="3"/>
      <c r="O6" s="3"/>
      <c r="P6" s="3"/>
      <c r="Q6" s="3"/>
      <c r="R6" s="3"/>
    </row>
    <row r="7" spans="2:20" x14ac:dyDescent="0.2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3"/>
      <c r="P7" s="3"/>
      <c r="Q7" s="3"/>
      <c r="R7" s="3"/>
    </row>
    <row r="8" spans="2:20" x14ac:dyDescent="0.25">
      <c r="B8" s="7" t="s">
        <v>69</v>
      </c>
      <c r="C8" s="13">
        <v>2400</v>
      </c>
      <c r="D8" s="13">
        <v>2400</v>
      </c>
      <c r="E8" s="10"/>
      <c r="F8" s="10"/>
      <c r="G8" s="10"/>
      <c r="H8" s="13">
        <f>E8+F8-D8</f>
        <v>-2400</v>
      </c>
      <c r="I8" s="13"/>
      <c r="J8" s="13">
        <v>0</v>
      </c>
      <c r="K8" s="13">
        <v>0</v>
      </c>
      <c r="L8" s="13">
        <v>0</v>
      </c>
      <c r="M8" s="13">
        <v>0</v>
      </c>
      <c r="N8" s="3"/>
      <c r="O8" s="3"/>
      <c r="P8" s="3"/>
      <c r="Q8" s="3"/>
      <c r="R8" s="3"/>
    </row>
    <row r="9" spans="2:20" x14ac:dyDescent="0.25">
      <c r="B9" s="6" t="s">
        <v>88</v>
      </c>
      <c r="C9" s="10">
        <f t="shared" ref="C9:M9" si="3">SUM(C8:C8)</f>
        <v>2400</v>
      </c>
      <c r="D9" s="10">
        <f t="shared" si="3"/>
        <v>2400</v>
      </c>
      <c r="E9" s="10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-2400</v>
      </c>
      <c r="I9" s="10">
        <f t="shared" si="3"/>
        <v>0</v>
      </c>
      <c r="J9" s="10">
        <f t="shared" ref="J9" si="4">SUM(J8:J8)</f>
        <v>0</v>
      </c>
      <c r="K9" s="10">
        <f t="shared" si="3"/>
        <v>0</v>
      </c>
      <c r="L9" s="10">
        <f t="shared" si="3"/>
        <v>0</v>
      </c>
      <c r="M9" s="10">
        <f t="shared" si="3"/>
        <v>0</v>
      </c>
      <c r="N9" s="3"/>
      <c r="O9" s="3"/>
      <c r="P9" s="3"/>
      <c r="Q9" s="3"/>
      <c r="R9" s="3"/>
    </row>
    <row r="10" spans="2:20" x14ac:dyDescent="0.2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20" x14ac:dyDescent="0.25">
      <c r="B11" s="6" t="s">
        <v>139</v>
      </c>
      <c r="C11" s="10">
        <v>290000</v>
      </c>
      <c r="D11" s="10">
        <f>E11+F11</f>
        <v>136005.84791386273</v>
      </c>
      <c r="E11" s="10">
        <v>90215</v>
      </c>
      <c r="F11" s="10">
        <v>45790.847913862715</v>
      </c>
      <c r="G11" s="10">
        <f>J11-F11-E11</f>
        <v>117894.15208613727</v>
      </c>
      <c r="H11" s="10">
        <f>E11+F11-D11</f>
        <v>0</v>
      </c>
      <c r="I11" s="10">
        <v>18042.960969044412</v>
      </c>
      <c r="J11" s="10">
        <v>253900</v>
      </c>
      <c r="K11" s="10">
        <f>J11*1.035</f>
        <v>262786.5</v>
      </c>
      <c r="L11" s="10">
        <f t="shared" ref="L11:M11" si="5">K11*1.03</f>
        <v>270670.09500000003</v>
      </c>
      <c r="M11" s="10">
        <f t="shared" si="5"/>
        <v>278790.19785000006</v>
      </c>
      <c r="N11" s="3"/>
      <c r="O11" s="3"/>
      <c r="P11" s="3"/>
      <c r="Q11" s="3"/>
      <c r="R11" s="3"/>
    </row>
    <row r="12" spans="2:20" x14ac:dyDescent="0.2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20" x14ac:dyDescent="0.25">
      <c r="B13" s="6" t="s">
        <v>70</v>
      </c>
      <c r="C13" s="10">
        <f>C6+C9+C11</f>
        <v>292400</v>
      </c>
      <c r="D13" s="10">
        <f t="shared" ref="D13:M13" si="6">D6+D9+D11</f>
        <v>138405.84791386273</v>
      </c>
      <c r="E13" s="10">
        <f t="shared" si="6"/>
        <v>90386</v>
      </c>
      <c r="F13" s="10">
        <f t="shared" si="6"/>
        <v>45910.847913862715</v>
      </c>
      <c r="G13" s="10">
        <f t="shared" ref="G13:I13" si="7">G6+G9+G11</f>
        <v>117894.15208613727</v>
      </c>
      <c r="H13" s="10">
        <f t="shared" si="6"/>
        <v>-2109</v>
      </c>
      <c r="I13" s="10">
        <f t="shared" si="7"/>
        <v>18042.960969044412</v>
      </c>
      <c r="J13" s="10">
        <f>J6+J9+J11</f>
        <v>255245</v>
      </c>
      <c r="K13" s="10">
        <f t="shared" si="6"/>
        <v>264171.84999999998</v>
      </c>
      <c r="L13" s="10">
        <f t="shared" si="6"/>
        <v>272097.00550000003</v>
      </c>
      <c r="M13" s="10">
        <f t="shared" si="6"/>
        <v>280259.91566500004</v>
      </c>
      <c r="N13" s="3"/>
      <c r="O13" s="3"/>
      <c r="P13" s="3"/>
      <c r="Q13" s="3"/>
      <c r="R13" s="3"/>
    </row>
    <row r="14" spans="2:20" x14ac:dyDescent="0.2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20" x14ac:dyDescent="0.25">
      <c r="B15" s="6" t="s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>E15+F15+G15-D15</f>
        <v>0</v>
      </c>
      <c r="I15" s="10">
        <v>0</v>
      </c>
      <c r="J15" s="10">
        <v>0</v>
      </c>
      <c r="K15" s="10">
        <f>F15+H15-E15</f>
        <v>0</v>
      </c>
      <c r="L15" s="10">
        <f>H15+K15-F15</f>
        <v>0</v>
      </c>
      <c r="M15" s="10">
        <f>K15+L15-H15</f>
        <v>0</v>
      </c>
      <c r="N15" s="3"/>
      <c r="O15" s="3"/>
      <c r="P15" s="3"/>
      <c r="Q15" s="3"/>
      <c r="R15" s="3"/>
    </row>
    <row r="16" spans="2:20" x14ac:dyDescent="0.2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x14ac:dyDescent="0.25">
      <c r="B17" s="6" t="s">
        <v>73</v>
      </c>
      <c r="C17" s="10">
        <f t="shared" ref="C17:M17" si="8">C13+C15</f>
        <v>292400</v>
      </c>
      <c r="D17" s="10">
        <f t="shared" si="8"/>
        <v>138405.84791386273</v>
      </c>
      <c r="E17" s="10">
        <f t="shared" si="8"/>
        <v>90386</v>
      </c>
      <c r="F17" s="10">
        <f t="shared" si="8"/>
        <v>45910.847913862715</v>
      </c>
      <c r="G17" s="10">
        <f t="shared" ref="G17:I17" si="9">G13+G15</f>
        <v>117894.15208613727</v>
      </c>
      <c r="H17" s="10">
        <f t="shared" si="8"/>
        <v>-2109</v>
      </c>
      <c r="I17" s="10">
        <f t="shared" si="9"/>
        <v>18042.960969044412</v>
      </c>
      <c r="J17" s="10">
        <f t="shared" ref="J17" si="10">J13+J15</f>
        <v>255245</v>
      </c>
      <c r="K17" s="10">
        <f t="shared" si="8"/>
        <v>264171.84999999998</v>
      </c>
      <c r="L17" s="10">
        <f t="shared" si="8"/>
        <v>272097.00550000003</v>
      </c>
      <c r="M17" s="10">
        <f t="shared" si="8"/>
        <v>280259.91566500004</v>
      </c>
      <c r="N17" s="3"/>
      <c r="O17" s="3"/>
      <c r="P17" s="3"/>
      <c r="Q17" s="3"/>
      <c r="R17" s="3"/>
    </row>
    <row r="19" spans="2:18" x14ac:dyDescent="0.25">
      <c r="B19" s="24"/>
    </row>
    <row r="20" spans="2:18" x14ac:dyDescent="0.25">
      <c r="B20" s="20"/>
    </row>
    <row r="21" spans="2:18" x14ac:dyDescent="0.25">
      <c r="B21" s="20"/>
    </row>
    <row r="22" spans="2:18" x14ac:dyDescent="0.25">
      <c r="B22" s="20"/>
    </row>
    <row r="23" spans="2:18" x14ac:dyDescent="0.25">
      <c r="B23" s="29"/>
    </row>
  </sheetData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T19"/>
  <sheetViews>
    <sheetView workbookViewId="0">
      <selection activeCell="B18" sqref="B18:Y20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6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79</v>
      </c>
      <c r="C5" s="13">
        <v>1100</v>
      </c>
      <c r="D5" s="10"/>
      <c r="E5" s="10"/>
      <c r="F5" s="10"/>
      <c r="G5" s="10"/>
      <c r="H5" s="13">
        <f>E5+F5-D5</f>
        <v>0</v>
      </c>
      <c r="I5" s="13"/>
      <c r="J5" s="13">
        <v>1100</v>
      </c>
      <c r="K5" s="13">
        <f>J5*1.03</f>
        <v>1133</v>
      </c>
      <c r="L5" s="13">
        <f t="shared" ref="L5:M5" si="0">K5*1.03</f>
        <v>1166.99</v>
      </c>
      <c r="M5" s="13">
        <f t="shared" si="0"/>
        <v>1201.9997000000001</v>
      </c>
      <c r="N5" s="3"/>
      <c r="O5" s="3"/>
      <c r="P5" s="3"/>
      <c r="Q5" s="3"/>
      <c r="R5" s="3"/>
    </row>
    <row r="6" spans="2:20" x14ac:dyDescent="0.25">
      <c r="B6" s="6" t="s">
        <v>80</v>
      </c>
      <c r="C6" s="10">
        <f t="shared" ref="C6:M6" si="1">SUM(C5:C5)</f>
        <v>1100</v>
      </c>
      <c r="D6" s="10">
        <f t="shared" si="1"/>
        <v>0</v>
      </c>
      <c r="E6" s="10">
        <f t="shared" si="1"/>
        <v>0</v>
      </c>
      <c r="F6" s="10">
        <f t="shared" si="1"/>
        <v>0</v>
      </c>
      <c r="G6" s="10">
        <f t="shared" ref="G6:I6" si="2">SUM(G5:G5)</f>
        <v>0</v>
      </c>
      <c r="H6" s="10">
        <f t="shared" si="1"/>
        <v>0</v>
      </c>
      <c r="I6" s="10">
        <f t="shared" si="2"/>
        <v>0</v>
      </c>
      <c r="J6" s="10">
        <f t="shared" ref="J6" si="3">SUM(J5:J5)</f>
        <v>1100</v>
      </c>
      <c r="K6" s="10">
        <f t="shared" si="1"/>
        <v>1133</v>
      </c>
      <c r="L6" s="10">
        <f t="shared" si="1"/>
        <v>1166.99</v>
      </c>
      <c r="M6" s="10">
        <f t="shared" si="1"/>
        <v>1201.9997000000001</v>
      </c>
      <c r="N6" s="3"/>
      <c r="O6" s="3"/>
      <c r="P6" s="3"/>
      <c r="Q6" s="3"/>
      <c r="R6" s="3"/>
    </row>
    <row r="7" spans="2:20" x14ac:dyDescent="0.2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3"/>
      <c r="P7" s="3"/>
      <c r="Q7" s="3"/>
      <c r="R7" s="3"/>
    </row>
    <row r="8" spans="2:20" x14ac:dyDescent="0.25">
      <c r="B8" s="7" t="s">
        <v>146</v>
      </c>
      <c r="C8" s="13">
        <v>1800</v>
      </c>
      <c r="D8" s="13">
        <v>120</v>
      </c>
      <c r="E8" s="13">
        <v>120</v>
      </c>
      <c r="F8" s="10"/>
      <c r="G8" s="10"/>
      <c r="H8" s="13">
        <f>E8+F8-D8</f>
        <v>0</v>
      </c>
      <c r="I8" s="10"/>
      <c r="J8" s="13">
        <v>1800</v>
      </c>
      <c r="K8" s="13">
        <v>1800</v>
      </c>
      <c r="L8" s="13">
        <v>1800</v>
      </c>
      <c r="M8" s="13">
        <v>1800</v>
      </c>
      <c r="N8" s="3"/>
      <c r="O8" s="3"/>
      <c r="P8" s="3"/>
      <c r="Q8" s="3"/>
      <c r="R8" s="3"/>
    </row>
    <row r="9" spans="2:20" x14ac:dyDescent="0.25">
      <c r="B9" s="6" t="s">
        <v>88</v>
      </c>
      <c r="C9" s="10">
        <f t="shared" ref="C9:M9" si="4">SUM(C8:C8)</f>
        <v>1800</v>
      </c>
      <c r="D9" s="10">
        <f t="shared" si="4"/>
        <v>120</v>
      </c>
      <c r="E9" s="10">
        <f t="shared" si="4"/>
        <v>120</v>
      </c>
      <c r="F9" s="10">
        <f t="shared" si="4"/>
        <v>0</v>
      </c>
      <c r="G9" s="10">
        <f t="shared" ref="G9:I9" si="5">SUM(G8:G8)</f>
        <v>0</v>
      </c>
      <c r="H9" s="10">
        <f t="shared" si="4"/>
        <v>0</v>
      </c>
      <c r="I9" s="10">
        <f t="shared" si="5"/>
        <v>0</v>
      </c>
      <c r="J9" s="10">
        <f t="shared" si="4"/>
        <v>1800</v>
      </c>
      <c r="K9" s="10">
        <f t="shared" si="4"/>
        <v>1800</v>
      </c>
      <c r="L9" s="10">
        <f t="shared" si="4"/>
        <v>1800</v>
      </c>
      <c r="M9" s="10">
        <f t="shared" si="4"/>
        <v>1800</v>
      </c>
      <c r="N9" s="3"/>
      <c r="O9" s="3"/>
      <c r="P9" s="3"/>
      <c r="Q9" s="3"/>
      <c r="R9" s="3"/>
    </row>
    <row r="10" spans="2:20" x14ac:dyDescent="0.2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20" x14ac:dyDescent="0.25">
      <c r="B11" s="6" t="s">
        <v>70</v>
      </c>
      <c r="C11" s="10">
        <f t="shared" ref="C11:M11" si="6">C6+C9</f>
        <v>2900</v>
      </c>
      <c r="D11" s="10">
        <f t="shared" si="6"/>
        <v>120</v>
      </c>
      <c r="E11" s="10">
        <f t="shared" si="6"/>
        <v>120</v>
      </c>
      <c r="F11" s="10">
        <f t="shared" si="6"/>
        <v>0</v>
      </c>
      <c r="G11" s="10">
        <f t="shared" ref="G11:I11" si="7">G6+G9</f>
        <v>0</v>
      </c>
      <c r="H11" s="10">
        <f t="shared" si="6"/>
        <v>0</v>
      </c>
      <c r="I11" s="10">
        <f t="shared" si="7"/>
        <v>0</v>
      </c>
      <c r="J11" s="10">
        <f t="shared" si="6"/>
        <v>2900</v>
      </c>
      <c r="K11" s="10">
        <f t="shared" si="6"/>
        <v>2933</v>
      </c>
      <c r="L11" s="10">
        <f t="shared" si="6"/>
        <v>2966.99</v>
      </c>
      <c r="M11" s="10">
        <f t="shared" si="6"/>
        <v>3001.9997000000003</v>
      </c>
      <c r="N11" s="3"/>
      <c r="O11" s="3"/>
      <c r="P11" s="3"/>
      <c r="Q11" s="3"/>
      <c r="R11" s="3"/>
    </row>
    <row r="12" spans="2:20" x14ac:dyDescent="0.2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20" x14ac:dyDescent="0.25">
      <c r="B13" s="7" t="s">
        <v>89</v>
      </c>
      <c r="C13" s="13">
        <v>-5300</v>
      </c>
      <c r="D13" s="10"/>
      <c r="E13" s="10"/>
      <c r="F13" s="10"/>
      <c r="G13" s="10"/>
      <c r="H13" s="13">
        <f>E13+F13-D13</f>
        <v>0</v>
      </c>
      <c r="I13" s="10"/>
      <c r="J13" s="13">
        <v>-5300</v>
      </c>
      <c r="K13" s="13">
        <v>-5300</v>
      </c>
      <c r="L13" s="13">
        <v>-5300</v>
      </c>
      <c r="M13" s="13">
        <v>-5300</v>
      </c>
      <c r="N13" s="3"/>
      <c r="O13" s="3"/>
      <c r="P13" s="3"/>
      <c r="Q13" s="3"/>
      <c r="R13" s="3"/>
    </row>
    <row r="14" spans="2:20" x14ac:dyDescent="0.25">
      <c r="B14" s="6" t="s">
        <v>0</v>
      </c>
      <c r="C14" s="10">
        <f>C13</f>
        <v>-5300</v>
      </c>
      <c r="D14" s="10">
        <f t="shared" ref="D14:M14" si="8">D13</f>
        <v>0</v>
      </c>
      <c r="E14" s="10">
        <f t="shared" si="8"/>
        <v>0</v>
      </c>
      <c r="F14" s="10">
        <f t="shared" si="8"/>
        <v>0</v>
      </c>
      <c r="G14" s="10">
        <f t="shared" ref="G14:I14" si="9">G13</f>
        <v>0</v>
      </c>
      <c r="H14" s="10">
        <f t="shared" si="8"/>
        <v>0</v>
      </c>
      <c r="I14" s="10">
        <f t="shared" si="9"/>
        <v>0</v>
      </c>
      <c r="J14" s="10">
        <f>J13</f>
        <v>-5300</v>
      </c>
      <c r="K14" s="10">
        <f t="shared" si="8"/>
        <v>-5300</v>
      </c>
      <c r="L14" s="10">
        <f t="shared" si="8"/>
        <v>-5300</v>
      </c>
      <c r="M14" s="10">
        <f t="shared" si="8"/>
        <v>-5300</v>
      </c>
      <c r="N14" s="3"/>
      <c r="O14" s="3"/>
      <c r="P14" s="3"/>
      <c r="Q14" s="3"/>
      <c r="R14" s="3"/>
    </row>
    <row r="15" spans="2:20" x14ac:dyDescent="0.2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20" x14ac:dyDescent="0.25">
      <c r="B16" s="6" t="s">
        <v>73</v>
      </c>
      <c r="C16" s="10">
        <f t="shared" ref="C16:M16" si="10">C11+C14</f>
        <v>-2400</v>
      </c>
      <c r="D16" s="10">
        <f t="shared" si="10"/>
        <v>120</v>
      </c>
      <c r="E16" s="10">
        <f t="shared" si="10"/>
        <v>120</v>
      </c>
      <c r="F16" s="10">
        <f t="shared" si="10"/>
        <v>0</v>
      </c>
      <c r="G16" s="10">
        <f t="shared" ref="G16:I16" si="11">G11+G14</f>
        <v>0</v>
      </c>
      <c r="H16" s="10">
        <f t="shared" si="10"/>
        <v>0</v>
      </c>
      <c r="I16" s="10">
        <f t="shared" si="11"/>
        <v>0</v>
      </c>
      <c r="J16" s="10">
        <f t="shared" ref="J16" si="12">J11+J14</f>
        <v>-2400</v>
      </c>
      <c r="K16" s="10">
        <f t="shared" si="10"/>
        <v>-2367</v>
      </c>
      <c r="L16" s="10">
        <f t="shared" si="10"/>
        <v>-2333.0100000000002</v>
      </c>
      <c r="M16" s="10">
        <f t="shared" si="10"/>
        <v>-2298.0002999999997</v>
      </c>
      <c r="N16" s="3"/>
      <c r="O16" s="3"/>
      <c r="P16" s="3"/>
      <c r="Q16" s="3"/>
      <c r="R16" s="3"/>
    </row>
    <row r="18" spans="2:2" x14ac:dyDescent="0.25">
      <c r="B18" s="2"/>
    </row>
    <row r="19" spans="2:2" x14ac:dyDescent="0.25">
      <c r="B19" s="20"/>
    </row>
  </sheetData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T22"/>
  <sheetViews>
    <sheetView workbookViewId="0">
      <selection activeCell="X9" sqref="X9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8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90</v>
      </c>
      <c r="C5" s="13">
        <v>5100</v>
      </c>
      <c r="D5" s="13">
        <v>207</v>
      </c>
      <c r="E5" s="13">
        <v>207</v>
      </c>
      <c r="F5" s="13"/>
      <c r="G5" s="13"/>
      <c r="H5" s="13">
        <f>E5+F5-D5</f>
        <v>0</v>
      </c>
      <c r="I5" s="13"/>
      <c r="J5" s="13">
        <v>5100</v>
      </c>
      <c r="K5" s="13">
        <v>10000</v>
      </c>
      <c r="L5" s="13">
        <v>10000</v>
      </c>
      <c r="M5" s="13">
        <v>10000</v>
      </c>
      <c r="N5" s="3"/>
      <c r="O5" s="3"/>
      <c r="P5" s="3"/>
      <c r="Q5" s="3"/>
      <c r="R5" s="3"/>
    </row>
    <row r="6" spans="2:20" x14ac:dyDescent="0.25">
      <c r="B6" s="6" t="s">
        <v>80</v>
      </c>
      <c r="C6" s="10">
        <f t="shared" ref="C6:M6" si="0">SUM(C5:C5)</f>
        <v>5100</v>
      </c>
      <c r="D6" s="10">
        <f t="shared" si="0"/>
        <v>207</v>
      </c>
      <c r="E6" s="10">
        <f t="shared" si="0"/>
        <v>207</v>
      </c>
      <c r="F6" s="10">
        <f t="shared" si="0"/>
        <v>0</v>
      </c>
      <c r="G6" s="10">
        <f t="shared" ref="G6:I6" si="1">SUM(G5:G5)</f>
        <v>0</v>
      </c>
      <c r="H6" s="10">
        <f t="shared" si="0"/>
        <v>0</v>
      </c>
      <c r="I6" s="10">
        <f t="shared" si="1"/>
        <v>0</v>
      </c>
      <c r="J6" s="10">
        <f t="shared" ref="J6" si="2">SUM(J5:J5)</f>
        <v>5100</v>
      </c>
      <c r="K6" s="10">
        <f t="shared" si="0"/>
        <v>10000</v>
      </c>
      <c r="L6" s="10">
        <f t="shared" si="0"/>
        <v>10000</v>
      </c>
      <c r="M6" s="10">
        <f t="shared" si="0"/>
        <v>10000</v>
      </c>
      <c r="N6" s="3"/>
      <c r="O6" s="3"/>
      <c r="P6" s="3"/>
      <c r="Q6" s="3"/>
      <c r="R6" s="3"/>
    </row>
    <row r="7" spans="2:20" x14ac:dyDescent="0.2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3"/>
      <c r="P7" s="3"/>
      <c r="Q7" s="3"/>
      <c r="R7" s="3"/>
    </row>
    <row r="8" spans="2:20" x14ac:dyDescent="0.25">
      <c r="B8" s="7" t="s">
        <v>69</v>
      </c>
      <c r="C8" s="13">
        <v>4000</v>
      </c>
      <c r="D8" s="13">
        <v>4000</v>
      </c>
      <c r="E8" s="10"/>
      <c r="F8" s="10"/>
      <c r="G8" s="10"/>
      <c r="H8" s="13">
        <f>E8+F8-D8</f>
        <v>-4000</v>
      </c>
      <c r="I8" s="10"/>
      <c r="J8" s="13">
        <v>0</v>
      </c>
      <c r="K8" s="13">
        <v>0</v>
      </c>
      <c r="L8" s="13">
        <v>0</v>
      </c>
      <c r="M8" s="13">
        <v>0</v>
      </c>
      <c r="N8" s="3"/>
      <c r="O8" s="3"/>
      <c r="P8" s="3"/>
      <c r="Q8" s="3"/>
      <c r="R8" s="3"/>
    </row>
    <row r="9" spans="2:20" x14ac:dyDescent="0.25">
      <c r="B9" s="6" t="s">
        <v>88</v>
      </c>
      <c r="C9" s="10">
        <f t="shared" ref="C9:M9" si="3">SUM(C8:C8)</f>
        <v>4000</v>
      </c>
      <c r="D9" s="10">
        <f t="shared" si="3"/>
        <v>4000</v>
      </c>
      <c r="E9" s="10">
        <f t="shared" si="3"/>
        <v>0</v>
      </c>
      <c r="F9" s="10">
        <f t="shared" si="3"/>
        <v>0</v>
      </c>
      <c r="G9" s="10">
        <f t="shared" ref="G9:I9" si="4">SUM(G8:G8)</f>
        <v>0</v>
      </c>
      <c r="H9" s="10">
        <f t="shared" si="3"/>
        <v>-4000</v>
      </c>
      <c r="I9" s="10">
        <f t="shared" si="4"/>
        <v>0</v>
      </c>
      <c r="J9" s="10">
        <f t="shared" ref="J9" si="5">SUM(J8:J8)</f>
        <v>0</v>
      </c>
      <c r="K9" s="10">
        <f t="shared" si="3"/>
        <v>0</v>
      </c>
      <c r="L9" s="10">
        <f t="shared" si="3"/>
        <v>0</v>
      </c>
      <c r="M9" s="10">
        <f t="shared" si="3"/>
        <v>0</v>
      </c>
      <c r="N9" s="3"/>
      <c r="O9" s="3"/>
      <c r="P9" s="3"/>
      <c r="Q9" s="3"/>
      <c r="R9" s="3"/>
    </row>
    <row r="10" spans="2:20" x14ac:dyDescent="0.2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20" x14ac:dyDescent="0.25">
      <c r="B11" s="6" t="s">
        <v>149</v>
      </c>
      <c r="C11" s="10">
        <v>150000</v>
      </c>
      <c r="D11" s="10">
        <v>150000</v>
      </c>
      <c r="E11" s="10">
        <v>0</v>
      </c>
      <c r="F11" s="10">
        <v>150000</v>
      </c>
      <c r="G11" s="10">
        <v>0</v>
      </c>
      <c r="H11" s="10">
        <f>E11+F11-D11</f>
        <v>0</v>
      </c>
      <c r="I11" s="10">
        <v>0</v>
      </c>
      <c r="J11" s="10">
        <v>150000</v>
      </c>
      <c r="K11" s="10">
        <v>150000</v>
      </c>
      <c r="L11" s="10">
        <v>150000</v>
      </c>
      <c r="M11" s="10">
        <v>150000</v>
      </c>
      <c r="N11" s="3"/>
      <c r="O11" s="3"/>
      <c r="P11" s="3"/>
      <c r="Q11" s="3"/>
      <c r="R11" s="3"/>
    </row>
    <row r="12" spans="2:20" x14ac:dyDescent="0.2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20" x14ac:dyDescent="0.25">
      <c r="B13" s="6" t="s">
        <v>70</v>
      </c>
      <c r="C13" s="10">
        <f>C6+C9+C11</f>
        <v>159100</v>
      </c>
      <c r="D13" s="10">
        <f t="shared" ref="D13:F13" si="6">D6+D9+D11</f>
        <v>154207</v>
      </c>
      <c r="E13" s="10">
        <f t="shared" si="6"/>
        <v>207</v>
      </c>
      <c r="F13" s="10">
        <f t="shared" si="6"/>
        <v>150000</v>
      </c>
      <c r="G13" s="10">
        <f t="shared" ref="G13:I13" si="7">G6+G9+G11</f>
        <v>0</v>
      </c>
      <c r="H13" s="10">
        <f>H6+H9+H11</f>
        <v>-4000</v>
      </c>
      <c r="I13" s="10">
        <f t="shared" si="7"/>
        <v>0</v>
      </c>
      <c r="J13" s="10">
        <f>J6+J9+J11</f>
        <v>155100</v>
      </c>
      <c r="K13" s="10">
        <f t="shared" ref="K13:M13" si="8">K6+K9+K11</f>
        <v>160000</v>
      </c>
      <c r="L13" s="10">
        <f t="shared" si="8"/>
        <v>160000</v>
      </c>
      <c r="M13" s="10">
        <f t="shared" si="8"/>
        <v>160000</v>
      </c>
      <c r="N13" s="3"/>
      <c r="O13" s="3"/>
      <c r="P13" s="3"/>
      <c r="Q13" s="3"/>
      <c r="R13" s="3"/>
    </row>
    <row r="14" spans="2:20" x14ac:dyDescent="0.2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20" x14ac:dyDescent="0.25">
      <c r="B15" s="6" t="s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3">
        <f>E15+F15+G15-D15</f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3"/>
      <c r="O15" s="3"/>
      <c r="P15" s="3"/>
      <c r="Q15" s="3"/>
      <c r="R15" s="3"/>
    </row>
    <row r="16" spans="2:20" x14ac:dyDescent="0.2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x14ac:dyDescent="0.25">
      <c r="B17" s="6" t="s">
        <v>73</v>
      </c>
      <c r="C17" s="10">
        <f t="shared" ref="C17:M17" si="9">C13+C15</f>
        <v>159100</v>
      </c>
      <c r="D17" s="10">
        <f t="shared" si="9"/>
        <v>154207</v>
      </c>
      <c r="E17" s="10">
        <f t="shared" si="9"/>
        <v>207</v>
      </c>
      <c r="F17" s="10">
        <f t="shared" si="9"/>
        <v>150000</v>
      </c>
      <c r="G17" s="10">
        <f t="shared" ref="G17:I17" si="10">G13+G15</f>
        <v>0</v>
      </c>
      <c r="H17" s="10">
        <f t="shared" si="9"/>
        <v>-4000</v>
      </c>
      <c r="I17" s="10">
        <f t="shared" si="10"/>
        <v>0</v>
      </c>
      <c r="J17" s="10">
        <f t="shared" ref="J17" si="11">J13+J15</f>
        <v>155100</v>
      </c>
      <c r="K17" s="10">
        <f t="shared" si="9"/>
        <v>160000</v>
      </c>
      <c r="L17" s="10">
        <f t="shared" si="9"/>
        <v>160000</v>
      </c>
      <c r="M17" s="10">
        <f t="shared" si="9"/>
        <v>160000</v>
      </c>
      <c r="N17" s="3"/>
      <c r="O17" s="3"/>
      <c r="P17" s="3"/>
      <c r="Q17" s="3"/>
      <c r="R17" s="3"/>
    </row>
    <row r="19" spans="2:18" x14ac:dyDescent="0.25">
      <c r="B19" s="24"/>
    </row>
    <row r="20" spans="2:18" x14ac:dyDescent="0.25">
      <c r="B20" s="20"/>
    </row>
    <row r="22" spans="2:18" x14ac:dyDescent="0.25">
      <c r="B22" s="37"/>
    </row>
  </sheetData>
  <pageMargins left="0.7" right="0.7" top="0.75" bottom="0.75" header="0.3" footer="0.3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T23"/>
  <sheetViews>
    <sheetView workbookViewId="0">
      <selection activeCell="B22" sqref="B22:V26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108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4"/>
      <c r="D4" s="14"/>
      <c r="E4" s="14"/>
      <c r="F4" s="4"/>
      <c r="G4" s="4"/>
      <c r="H4" s="4"/>
      <c r="I4" s="4"/>
      <c r="J4" s="4"/>
      <c r="K4" s="14"/>
      <c r="L4" s="14"/>
      <c r="M4" s="14"/>
      <c r="N4" s="2"/>
      <c r="O4" s="2"/>
      <c r="P4" s="2"/>
      <c r="Q4" s="2"/>
      <c r="R4" s="2"/>
    </row>
    <row r="5" spans="2:20" x14ac:dyDescent="0.25">
      <c r="B5" s="6" t="s">
        <v>109</v>
      </c>
      <c r="C5" s="32">
        <v>900</v>
      </c>
      <c r="D5" s="17">
        <v>900</v>
      </c>
      <c r="E5" s="17">
        <v>900</v>
      </c>
      <c r="F5" s="4">
        <v>0</v>
      </c>
      <c r="G5" s="4">
        <v>0</v>
      </c>
      <c r="H5" s="10">
        <f>E5+F5-D5</f>
        <v>0</v>
      </c>
      <c r="I5" s="10">
        <v>0</v>
      </c>
      <c r="J5" s="32">
        <v>900</v>
      </c>
      <c r="K5" s="17">
        <v>900</v>
      </c>
      <c r="L5" s="17">
        <v>900</v>
      </c>
      <c r="M5" s="17">
        <v>900</v>
      </c>
      <c r="N5" s="2"/>
      <c r="O5" s="2"/>
      <c r="P5" s="2"/>
      <c r="Q5" s="2"/>
      <c r="R5" s="2"/>
    </row>
    <row r="6" spans="2:20" x14ac:dyDescent="0.25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"/>
      <c r="O6" s="3"/>
      <c r="P6" s="3"/>
      <c r="Q6" s="3"/>
      <c r="R6" s="3"/>
    </row>
    <row r="7" spans="2:20" x14ac:dyDescent="0.25">
      <c r="B7" s="8" t="s">
        <v>37</v>
      </c>
      <c r="C7" s="13">
        <v>300</v>
      </c>
      <c r="D7" s="13">
        <f t="shared" ref="D7:D12" si="0">E7+F7</f>
        <v>160.69986541049798</v>
      </c>
      <c r="E7" s="13">
        <v>106.59488559892328</v>
      </c>
      <c r="F7" s="13">
        <v>54.104979811574694</v>
      </c>
      <c r="G7" s="13">
        <f>J7-F7-E7</f>
        <v>139.30013458950202</v>
      </c>
      <c r="H7" s="13">
        <f t="shared" ref="H7:H12" si="1">E7+F7-D7</f>
        <v>0</v>
      </c>
      <c r="I7" s="13">
        <v>21.318977119784659</v>
      </c>
      <c r="J7" s="13">
        <v>300</v>
      </c>
      <c r="K7" s="13">
        <f>J7*1.035</f>
        <v>310.5</v>
      </c>
      <c r="L7" s="13">
        <f t="shared" ref="L7:M7" si="2">K7*1.03</f>
        <v>319.815</v>
      </c>
      <c r="M7" s="13">
        <f t="shared" si="2"/>
        <v>329.40944999999999</v>
      </c>
      <c r="N7" s="3"/>
      <c r="O7" s="3"/>
      <c r="P7" s="3"/>
      <c r="Q7" s="3"/>
      <c r="R7" s="3"/>
    </row>
    <row r="8" spans="2:20" x14ac:dyDescent="0.25">
      <c r="B8" s="8" t="s">
        <v>38</v>
      </c>
      <c r="C8" s="13">
        <v>2100</v>
      </c>
      <c r="D8" s="13">
        <f t="shared" si="0"/>
        <v>1124.8990578734858</v>
      </c>
      <c r="E8" s="13">
        <v>746.164199192463</v>
      </c>
      <c r="F8" s="13">
        <v>378.73485868102284</v>
      </c>
      <c r="G8" s="13">
        <f t="shared" ref="G8:G12" si="3">J8-F8-E8</f>
        <v>975.10094212651416</v>
      </c>
      <c r="H8" s="13">
        <f t="shared" si="1"/>
        <v>0</v>
      </c>
      <c r="I8" s="13">
        <v>149.23283983849259</v>
      </c>
      <c r="J8" s="13">
        <v>2100</v>
      </c>
      <c r="K8" s="13">
        <f t="shared" ref="K8:K12" si="4">J8*1.035</f>
        <v>2173.5</v>
      </c>
      <c r="L8" s="13">
        <f t="shared" ref="L8:M12" si="5">K8*1.03</f>
        <v>2238.7049999999999</v>
      </c>
      <c r="M8" s="13">
        <f t="shared" si="5"/>
        <v>2305.8661499999998</v>
      </c>
      <c r="N8" s="3"/>
      <c r="O8" s="3"/>
      <c r="P8" s="3"/>
      <c r="Q8" s="3"/>
      <c r="R8" s="3"/>
    </row>
    <row r="9" spans="2:20" x14ac:dyDescent="0.25">
      <c r="B9" s="8" t="s">
        <v>39</v>
      </c>
      <c r="C9" s="13">
        <v>0</v>
      </c>
      <c r="D9" s="13">
        <f t="shared" si="0"/>
        <v>0</v>
      </c>
      <c r="E9">
        <v>0</v>
      </c>
      <c r="F9">
        <v>0</v>
      </c>
      <c r="G9" s="13">
        <f t="shared" si="3"/>
        <v>0</v>
      </c>
      <c r="H9" s="13">
        <f t="shared" si="1"/>
        <v>0</v>
      </c>
      <c r="I9" s="13">
        <v>0</v>
      </c>
      <c r="J9" s="13">
        <v>0</v>
      </c>
      <c r="K9" s="13">
        <f t="shared" si="4"/>
        <v>0</v>
      </c>
      <c r="L9" s="13">
        <f t="shared" si="5"/>
        <v>0</v>
      </c>
      <c r="M9" s="13">
        <f t="shared" si="5"/>
        <v>0</v>
      </c>
      <c r="N9" s="3"/>
      <c r="O9" s="3"/>
      <c r="P9" s="3"/>
      <c r="Q9" s="3"/>
      <c r="R9" s="3"/>
    </row>
    <row r="10" spans="2:20" x14ac:dyDescent="0.25">
      <c r="B10" s="8" t="s">
        <v>40</v>
      </c>
      <c r="C10" s="13">
        <v>1000</v>
      </c>
      <c r="D10" s="13">
        <f t="shared" si="0"/>
        <v>535.66621803499334</v>
      </c>
      <c r="E10" s="13">
        <v>355.31628532974429</v>
      </c>
      <c r="F10" s="13">
        <v>180.34993270524899</v>
      </c>
      <c r="G10" s="13">
        <f t="shared" si="3"/>
        <v>464.33378196500672</v>
      </c>
      <c r="H10" s="13">
        <f t="shared" si="1"/>
        <v>0</v>
      </c>
      <c r="I10" s="13">
        <v>71.063257065948861</v>
      </c>
      <c r="J10" s="13">
        <v>1000</v>
      </c>
      <c r="K10" s="13">
        <f t="shared" si="4"/>
        <v>1035</v>
      </c>
      <c r="L10" s="13">
        <f t="shared" si="5"/>
        <v>1066.05</v>
      </c>
      <c r="M10" s="13">
        <f t="shared" si="5"/>
        <v>1098.0315000000001</v>
      </c>
      <c r="N10" s="3"/>
      <c r="O10" s="3"/>
      <c r="P10" s="3"/>
      <c r="Q10" s="3"/>
      <c r="R10" s="3"/>
    </row>
    <row r="11" spans="2:20" x14ac:dyDescent="0.25">
      <c r="B11" s="8" t="s">
        <v>41</v>
      </c>
      <c r="C11" s="13">
        <v>2700</v>
      </c>
      <c r="D11" s="13">
        <f t="shared" si="0"/>
        <v>1446.2987886944818</v>
      </c>
      <c r="E11" s="13">
        <v>959.35397039030954</v>
      </c>
      <c r="F11" s="13">
        <v>486.94481830417226</v>
      </c>
      <c r="G11" s="13">
        <f t="shared" si="3"/>
        <v>1253.7012113055182</v>
      </c>
      <c r="H11" s="13">
        <f t="shared" si="1"/>
        <v>0</v>
      </c>
      <c r="I11" s="13">
        <v>191.87079407806192</v>
      </c>
      <c r="J11" s="13">
        <v>2700</v>
      </c>
      <c r="K11" s="13">
        <f t="shared" si="4"/>
        <v>2794.5</v>
      </c>
      <c r="L11" s="13">
        <f t="shared" si="5"/>
        <v>2878.335</v>
      </c>
      <c r="M11" s="13">
        <f t="shared" si="5"/>
        <v>2964.68505</v>
      </c>
      <c r="N11" s="3"/>
      <c r="O11" s="3"/>
      <c r="P11" s="3"/>
      <c r="Q11" s="3"/>
      <c r="R11" s="3"/>
    </row>
    <row r="12" spans="2:20" x14ac:dyDescent="0.25">
      <c r="B12" s="8" t="s">
        <v>42</v>
      </c>
      <c r="C12" s="13">
        <v>200</v>
      </c>
      <c r="D12" s="13">
        <f t="shared" si="0"/>
        <v>107.13324360699865</v>
      </c>
      <c r="E12" s="13">
        <v>71.063257065948847</v>
      </c>
      <c r="F12" s="13">
        <v>36.069986541049801</v>
      </c>
      <c r="G12" s="13">
        <f t="shared" si="3"/>
        <v>92.866756393001367</v>
      </c>
      <c r="H12" s="13">
        <f t="shared" si="1"/>
        <v>0</v>
      </c>
      <c r="I12" s="13">
        <v>14.21265141318977</v>
      </c>
      <c r="J12" s="13">
        <v>200</v>
      </c>
      <c r="K12" s="13">
        <f t="shared" si="4"/>
        <v>206.99999999999997</v>
      </c>
      <c r="L12" s="13">
        <f t="shared" si="5"/>
        <v>213.20999999999998</v>
      </c>
      <c r="M12" s="13">
        <f t="shared" si="5"/>
        <v>219.60629999999998</v>
      </c>
      <c r="N12" s="3"/>
      <c r="O12" s="3"/>
      <c r="P12" s="3"/>
      <c r="Q12" s="3"/>
      <c r="R12" s="3"/>
    </row>
    <row r="13" spans="2:20" x14ac:dyDescent="0.25">
      <c r="B13" s="6" t="s">
        <v>140</v>
      </c>
      <c r="C13" s="10">
        <f>SUM(C7:C12)</f>
        <v>6300</v>
      </c>
      <c r="D13" s="10">
        <f>SUM(D7:D12)</f>
        <v>3374.6971736204578</v>
      </c>
      <c r="E13" s="10">
        <f>SUM(E7:E12)</f>
        <v>2238.4925975773895</v>
      </c>
      <c r="F13" s="10">
        <f>SUM(F7:F12)</f>
        <v>1136.2045760430685</v>
      </c>
      <c r="G13" s="10">
        <f t="shared" ref="G13:I13" si="6">SUM(G7:G12)</f>
        <v>2925.3028263795422</v>
      </c>
      <c r="H13" s="10">
        <f t="shared" si="6"/>
        <v>0</v>
      </c>
      <c r="I13" s="10">
        <f t="shared" si="6"/>
        <v>447.69851951547776</v>
      </c>
      <c r="J13" s="10">
        <f>SUM(J7:J12)</f>
        <v>6300</v>
      </c>
      <c r="K13" s="10">
        <f t="shared" ref="K13:M13" si="7">SUM(K7:K12)</f>
        <v>6520.5</v>
      </c>
      <c r="L13" s="10">
        <f t="shared" si="7"/>
        <v>6716.1149999999998</v>
      </c>
      <c r="M13" s="10">
        <f t="shared" si="7"/>
        <v>6917.5984500000004</v>
      </c>
      <c r="N13" s="3"/>
      <c r="O13" s="3"/>
      <c r="P13" s="3"/>
      <c r="Q13" s="3"/>
      <c r="R13" s="3"/>
    </row>
    <row r="14" spans="2:20" x14ac:dyDescent="0.2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20" x14ac:dyDescent="0.25">
      <c r="B15" s="6" t="s">
        <v>70</v>
      </c>
      <c r="C15" s="10">
        <f>C13+C5</f>
        <v>7200</v>
      </c>
      <c r="D15" s="10">
        <f t="shared" ref="D15:M15" si="8">D13+D5</f>
        <v>4274.6971736204578</v>
      </c>
      <c r="E15" s="10">
        <f t="shared" si="8"/>
        <v>3138.4925975773895</v>
      </c>
      <c r="F15" s="10">
        <f t="shared" si="8"/>
        <v>1136.2045760430685</v>
      </c>
      <c r="G15" s="10">
        <f t="shared" si="8"/>
        <v>2925.3028263795422</v>
      </c>
      <c r="H15" s="10">
        <f t="shared" si="8"/>
        <v>0</v>
      </c>
      <c r="I15" s="10">
        <f t="shared" si="8"/>
        <v>447.69851951547776</v>
      </c>
      <c r="J15" s="10">
        <f>J13+J5</f>
        <v>7200</v>
      </c>
      <c r="K15" s="10">
        <f t="shared" si="8"/>
        <v>7420.5</v>
      </c>
      <c r="L15" s="10">
        <f t="shared" si="8"/>
        <v>7616.1149999999998</v>
      </c>
      <c r="M15" s="10">
        <f t="shared" si="8"/>
        <v>7817.5984500000004</v>
      </c>
      <c r="N15" s="3"/>
      <c r="O15" s="3"/>
      <c r="P15" s="3"/>
      <c r="Q15" s="3"/>
      <c r="R15" s="3"/>
    </row>
    <row r="16" spans="2:20" x14ac:dyDescent="0.2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x14ac:dyDescent="0.25">
      <c r="B17" s="7" t="s">
        <v>138</v>
      </c>
      <c r="C17" s="13">
        <v>0</v>
      </c>
      <c r="D17" s="13">
        <v>0</v>
      </c>
      <c r="E17" s="13">
        <v>0</v>
      </c>
      <c r="F17" s="10"/>
      <c r="G17" s="10"/>
      <c r="H17" s="13">
        <f>E17+F17-D17</f>
        <v>0</v>
      </c>
      <c r="I17" s="13"/>
      <c r="J17" s="13">
        <f>-583*0.9</f>
        <v>-524.70000000000005</v>
      </c>
      <c r="K17" s="13">
        <f t="shared" ref="K17:M17" si="9">-583*0.9</f>
        <v>-524.70000000000005</v>
      </c>
      <c r="L17" s="13">
        <f t="shared" si="9"/>
        <v>-524.70000000000005</v>
      </c>
      <c r="M17" s="13">
        <f t="shared" si="9"/>
        <v>-524.70000000000005</v>
      </c>
      <c r="N17" s="3"/>
      <c r="O17" s="3"/>
      <c r="P17" s="3"/>
      <c r="Q17" s="3"/>
      <c r="R17" s="3"/>
    </row>
    <row r="18" spans="2:18" x14ac:dyDescent="0.25">
      <c r="B18" s="6" t="s">
        <v>0</v>
      </c>
      <c r="C18" s="10">
        <f>SUM(C16:C17)</f>
        <v>0</v>
      </c>
      <c r="D18" s="10">
        <f t="shared" ref="D18:M18" si="10">SUM(D16:D17)</f>
        <v>0</v>
      </c>
      <c r="E18" s="10">
        <f t="shared" si="10"/>
        <v>0</v>
      </c>
      <c r="F18" s="10">
        <f t="shared" si="10"/>
        <v>0</v>
      </c>
      <c r="G18" s="10">
        <f t="shared" ref="G18:I18" si="11">SUM(G16:G17)</f>
        <v>0</v>
      </c>
      <c r="H18" s="10">
        <f t="shared" si="11"/>
        <v>0</v>
      </c>
      <c r="I18" s="10">
        <f t="shared" si="11"/>
        <v>0</v>
      </c>
      <c r="J18" s="10">
        <f>SUM(J16:J17)</f>
        <v>-524.70000000000005</v>
      </c>
      <c r="K18" s="10">
        <f t="shared" si="10"/>
        <v>-524.70000000000005</v>
      </c>
      <c r="L18" s="10">
        <f t="shared" si="10"/>
        <v>-524.70000000000005</v>
      </c>
      <c r="M18" s="10">
        <f t="shared" si="10"/>
        <v>-524.70000000000005</v>
      </c>
      <c r="N18" s="3"/>
      <c r="O18" s="3"/>
      <c r="P18" s="3"/>
      <c r="Q18" s="3"/>
      <c r="R18" s="3"/>
    </row>
    <row r="19" spans="2:18" x14ac:dyDescent="0.25"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"/>
      <c r="O19" s="3"/>
      <c r="P19" s="3"/>
      <c r="Q19" s="3"/>
      <c r="R19" s="3"/>
    </row>
    <row r="20" spans="2:18" x14ac:dyDescent="0.25">
      <c r="B20" s="6" t="s">
        <v>73</v>
      </c>
      <c r="C20" s="10">
        <f t="shared" ref="C20:M20" si="12">C15+C18</f>
        <v>7200</v>
      </c>
      <c r="D20" s="10">
        <f t="shared" si="12"/>
        <v>4274.6971736204578</v>
      </c>
      <c r="E20" s="10">
        <f t="shared" si="12"/>
        <v>3138.4925975773895</v>
      </c>
      <c r="F20" s="10">
        <f t="shared" si="12"/>
        <v>1136.2045760430685</v>
      </c>
      <c r="G20" s="10">
        <f t="shared" ref="G20:I20" si="13">G15+G18</f>
        <v>2925.3028263795422</v>
      </c>
      <c r="H20" s="10">
        <f t="shared" si="13"/>
        <v>0</v>
      </c>
      <c r="I20" s="10">
        <f t="shared" si="13"/>
        <v>447.69851951547776</v>
      </c>
      <c r="J20" s="10">
        <f t="shared" ref="J20" si="14">J15+J18</f>
        <v>6675.3</v>
      </c>
      <c r="K20" s="10">
        <f t="shared" si="12"/>
        <v>6895.8</v>
      </c>
      <c r="L20" s="10">
        <f t="shared" si="12"/>
        <v>7091.415</v>
      </c>
      <c r="M20" s="10">
        <f t="shared" si="12"/>
        <v>7292.8984500000006</v>
      </c>
      <c r="N20" s="3"/>
      <c r="O20" s="3"/>
      <c r="P20" s="3"/>
      <c r="Q20" s="3"/>
      <c r="R20" s="3"/>
    </row>
    <row r="22" spans="2:18" x14ac:dyDescent="0.25">
      <c r="B22" s="24"/>
    </row>
    <row r="23" spans="2:18" x14ac:dyDescent="0.25">
      <c r="B23" s="20"/>
    </row>
  </sheetData>
  <pageMargins left="0.7" right="0.7" top="0.75" bottom="0.75" header="0.3" footer="0.3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T29"/>
  <sheetViews>
    <sheetView workbookViewId="0">
      <selection activeCell="B25" sqref="B25:V31"/>
    </sheetView>
  </sheetViews>
  <sheetFormatPr defaultRowHeight="15" x14ac:dyDescent="0.25"/>
  <cols>
    <col min="2" max="2" width="44.7109375" customWidth="1"/>
    <col min="3" max="3" width="13.7109375" customWidth="1"/>
    <col min="4" max="9" width="13.7109375" hidden="1" customWidth="1"/>
    <col min="10" max="13" width="13.7109375" customWidth="1"/>
    <col min="14" max="18" width="13.7109375" hidden="1" customWidth="1"/>
  </cols>
  <sheetData>
    <row r="2" spans="2:20" ht="30" x14ac:dyDescent="0.25">
      <c r="B2" s="6" t="s">
        <v>91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0" x14ac:dyDescent="0.25">
      <c r="B5" s="7" t="s">
        <v>79</v>
      </c>
      <c r="C5" s="13">
        <v>600</v>
      </c>
      <c r="D5" s="13">
        <v>372</v>
      </c>
      <c r="E5" s="13">
        <v>238</v>
      </c>
      <c r="F5" s="13">
        <v>134</v>
      </c>
      <c r="G5" s="13"/>
      <c r="H5" s="13">
        <f>E5+F5-D5</f>
        <v>0</v>
      </c>
      <c r="I5" s="13"/>
      <c r="J5" s="13">
        <v>820</v>
      </c>
      <c r="K5" s="13">
        <f>J5*1.03</f>
        <v>844.6</v>
      </c>
      <c r="L5" s="13">
        <f t="shared" ref="L5:M5" si="0">K5*1.03</f>
        <v>869.9380000000001</v>
      </c>
      <c r="M5" s="13">
        <f t="shared" si="0"/>
        <v>896.03614000000016</v>
      </c>
      <c r="N5" s="3"/>
      <c r="O5" s="3"/>
      <c r="P5" s="3"/>
      <c r="Q5" s="3"/>
      <c r="R5" s="3"/>
    </row>
    <row r="6" spans="2:20" x14ac:dyDescent="0.25">
      <c r="B6" s="7" t="s">
        <v>81</v>
      </c>
      <c r="C6" s="13">
        <v>6800</v>
      </c>
      <c r="D6" s="13">
        <v>2207</v>
      </c>
      <c r="E6" s="13">
        <v>1212</v>
      </c>
      <c r="F6" s="13">
        <v>995</v>
      </c>
      <c r="G6" s="10"/>
      <c r="H6" s="13">
        <f>E6+F6-D6</f>
        <v>0</v>
      </c>
      <c r="I6" s="13"/>
      <c r="J6" s="13">
        <v>6800</v>
      </c>
      <c r="K6" s="13">
        <f>J6*1.03</f>
        <v>7004</v>
      </c>
      <c r="L6" s="13">
        <f t="shared" ref="L6:M6" si="1">K6*1.03</f>
        <v>7214.12</v>
      </c>
      <c r="M6" s="13">
        <f t="shared" si="1"/>
        <v>7430.5436</v>
      </c>
      <c r="N6" s="3"/>
      <c r="O6" s="3"/>
      <c r="P6" s="3"/>
      <c r="Q6" s="3"/>
      <c r="R6" s="3"/>
    </row>
    <row r="7" spans="2:20" x14ac:dyDescent="0.25">
      <c r="B7" s="7" t="s">
        <v>69</v>
      </c>
      <c r="C7" s="13">
        <v>2000</v>
      </c>
      <c r="D7" s="13">
        <v>2000</v>
      </c>
      <c r="E7" s="10"/>
      <c r="F7" s="10"/>
      <c r="G7" s="10"/>
      <c r="H7" s="13">
        <f>E7+F7-D7</f>
        <v>-2000</v>
      </c>
      <c r="I7" s="13"/>
      <c r="J7" s="13">
        <v>0</v>
      </c>
      <c r="K7" s="13">
        <v>0</v>
      </c>
      <c r="L7" s="13">
        <v>0</v>
      </c>
      <c r="M7" s="13">
        <v>0</v>
      </c>
      <c r="N7" s="3"/>
      <c r="O7" s="3"/>
      <c r="P7" s="3"/>
      <c r="Q7" s="3"/>
      <c r="R7" s="3"/>
    </row>
    <row r="8" spans="2:20" x14ac:dyDescent="0.25">
      <c r="B8" s="7" t="s">
        <v>173</v>
      </c>
      <c r="C8" s="13">
        <v>37700</v>
      </c>
      <c r="D8" s="13">
        <v>0</v>
      </c>
      <c r="E8" s="10"/>
      <c r="F8" s="10"/>
      <c r="G8" s="10"/>
      <c r="H8" s="13"/>
      <c r="I8" s="13"/>
      <c r="J8" s="13">
        <v>37700</v>
      </c>
      <c r="K8" s="13">
        <v>37700</v>
      </c>
      <c r="L8" s="13">
        <v>37700</v>
      </c>
      <c r="M8" s="13">
        <v>37700</v>
      </c>
      <c r="N8" s="3"/>
      <c r="O8" s="3"/>
      <c r="P8" s="3"/>
      <c r="Q8" s="3"/>
      <c r="R8" s="3"/>
    </row>
    <row r="9" spans="2:20" x14ac:dyDescent="0.25">
      <c r="B9" s="7" t="s">
        <v>58</v>
      </c>
      <c r="C9" s="13">
        <v>1000</v>
      </c>
      <c r="D9" s="13">
        <v>1000</v>
      </c>
      <c r="E9" s="13">
        <v>1025</v>
      </c>
      <c r="F9" s="13"/>
      <c r="G9" s="13"/>
      <c r="H9" s="13">
        <f>E9+F9-D9</f>
        <v>25</v>
      </c>
      <c r="I9" s="13"/>
      <c r="J9" s="13">
        <v>1025</v>
      </c>
      <c r="K9" s="13">
        <v>1080</v>
      </c>
      <c r="L9" s="13">
        <v>1110</v>
      </c>
      <c r="M9" s="13">
        <v>1150</v>
      </c>
      <c r="N9" s="3"/>
      <c r="O9" s="3"/>
      <c r="P9" s="3"/>
      <c r="Q9" s="3"/>
      <c r="R9" s="3"/>
    </row>
    <row r="10" spans="2:20" x14ac:dyDescent="0.25">
      <c r="B10" s="6" t="s">
        <v>80</v>
      </c>
      <c r="C10" s="10">
        <f t="shared" ref="C10:M10" si="2">SUM(C5:C9)</f>
        <v>48100</v>
      </c>
      <c r="D10" s="10">
        <f t="shared" si="2"/>
        <v>5579</v>
      </c>
      <c r="E10" s="10">
        <f t="shared" si="2"/>
        <v>2475</v>
      </c>
      <c r="F10" s="10">
        <f t="shared" si="2"/>
        <v>1129</v>
      </c>
      <c r="G10" s="10">
        <f t="shared" si="2"/>
        <v>0</v>
      </c>
      <c r="H10" s="10">
        <f t="shared" si="2"/>
        <v>-1975</v>
      </c>
      <c r="I10" s="10">
        <f t="shared" si="2"/>
        <v>0</v>
      </c>
      <c r="J10" s="10">
        <f t="shared" si="2"/>
        <v>46345</v>
      </c>
      <c r="K10" s="10">
        <f t="shared" si="2"/>
        <v>46628.6</v>
      </c>
      <c r="L10" s="10">
        <f t="shared" si="2"/>
        <v>46894.057999999997</v>
      </c>
      <c r="M10" s="10">
        <f t="shared" si="2"/>
        <v>47176.579740000001</v>
      </c>
      <c r="N10" s="3"/>
      <c r="O10" s="3"/>
      <c r="P10" s="3"/>
      <c r="Q10" s="3"/>
      <c r="R10" s="3"/>
    </row>
    <row r="11" spans="2:20" x14ac:dyDescent="0.2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20" x14ac:dyDescent="0.25">
      <c r="B12" s="7" t="s">
        <v>92</v>
      </c>
      <c r="C12" s="16">
        <v>82400</v>
      </c>
      <c r="D12" s="13">
        <f>E12+F12</f>
        <v>44138.896366083449</v>
      </c>
      <c r="E12" s="13">
        <v>29278.061911170931</v>
      </c>
      <c r="F12" s="13">
        <v>14860.834454912518</v>
      </c>
      <c r="G12" s="13">
        <f>J12-F12-E12</f>
        <v>38261.103633916551</v>
      </c>
      <c r="H12" s="13">
        <f t="shared" ref="H12:H14" si="3">E12+F12-D12</f>
        <v>0</v>
      </c>
      <c r="I12" s="13">
        <v>5855.612382234186</v>
      </c>
      <c r="J12" s="16">
        <v>82400</v>
      </c>
      <c r="K12" s="13">
        <f>J12*1.035</f>
        <v>85284</v>
      </c>
      <c r="L12" s="13">
        <f t="shared" ref="L12:M12" si="4">K12*1.03</f>
        <v>87842.52</v>
      </c>
      <c r="M12" s="13">
        <f t="shared" si="4"/>
        <v>90477.795600000012</v>
      </c>
      <c r="N12" s="3"/>
      <c r="O12" s="3"/>
      <c r="P12" s="3"/>
      <c r="Q12" s="3"/>
      <c r="R12" s="3"/>
    </row>
    <row r="13" spans="2:20" x14ac:dyDescent="0.25">
      <c r="B13" s="7" t="s">
        <v>93</v>
      </c>
      <c r="C13" s="13">
        <v>0</v>
      </c>
      <c r="D13" s="13">
        <v>0</v>
      </c>
      <c r="E13" s="13">
        <v>13395.423956931358</v>
      </c>
      <c r="F13" s="13">
        <v>6799.1924629878868</v>
      </c>
      <c r="G13" s="13">
        <f>J13-F13-E13</f>
        <v>-20194.616419919243</v>
      </c>
      <c r="H13" s="13">
        <f t="shared" si="3"/>
        <v>20194.616419919243</v>
      </c>
      <c r="I13" s="13">
        <v>2679.0847913862717</v>
      </c>
      <c r="J13" s="13">
        <v>0</v>
      </c>
      <c r="K13" s="13">
        <f>J13*1.035</f>
        <v>0</v>
      </c>
      <c r="L13" s="13">
        <f t="shared" ref="L13:M13" si="5">K13*1.03</f>
        <v>0</v>
      </c>
      <c r="M13" s="13">
        <f t="shared" si="5"/>
        <v>0</v>
      </c>
      <c r="N13" s="3"/>
      <c r="O13" s="3"/>
      <c r="P13" s="3"/>
      <c r="Q13" s="3"/>
      <c r="R13" s="3"/>
    </row>
    <row r="14" spans="2:20" x14ac:dyDescent="0.25">
      <c r="B14" s="7" t="s">
        <v>94</v>
      </c>
      <c r="C14" s="15">
        <v>1000</v>
      </c>
      <c r="D14" s="13">
        <f t="shared" ref="D14" si="6">E14+F14</f>
        <v>535.66621803499334</v>
      </c>
      <c r="E14" s="13">
        <v>355.31628532974429</v>
      </c>
      <c r="F14" s="13">
        <v>180.34993270524899</v>
      </c>
      <c r="G14" s="13">
        <f>J14-F14-E14</f>
        <v>464.33378196500672</v>
      </c>
      <c r="H14" s="13">
        <f t="shared" si="3"/>
        <v>0</v>
      </c>
      <c r="I14" s="13">
        <v>71.063257065948861</v>
      </c>
      <c r="J14" s="15">
        <v>1000</v>
      </c>
      <c r="K14" s="13">
        <f>J14*1.035</f>
        <v>1035</v>
      </c>
      <c r="L14" s="13">
        <f t="shared" ref="L14:M14" si="7">K14*1.03</f>
        <v>1066.05</v>
      </c>
      <c r="M14" s="13">
        <f t="shared" si="7"/>
        <v>1098.0315000000001</v>
      </c>
      <c r="N14" s="3"/>
      <c r="O14" s="3"/>
      <c r="P14" s="3"/>
      <c r="Q14" s="3"/>
      <c r="R14" s="3"/>
    </row>
    <row r="15" spans="2:20" x14ac:dyDescent="0.25">
      <c r="B15" s="6" t="s">
        <v>140</v>
      </c>
      <c r="C15" s="10">
        <f>SUM(C12:C14)</f>
        <v>83400</v>
      </c>
      <c r="D15" s="10">
        <f t="shared" ref="D15:M15" si="8">SUM(D12:D14)</f>
        <v>44674.562584118445</v>
      </c>
      <c r="E15" s="10">
        <f t="shared" si="8"/>
        <v>43028.802153432036</v>
      </c>
      <c r="F15" s="10">
        <f t="shared" si="8"/>
        <v>21840.376850605651</v>
      </c>
      <c r="G15" s="10">
        <f t="shared" si="8"/>
        <v>18530.820995962316</v>
      </c>
      <c r="H15" s="10">
        <f t="shared" si="8"/>
        <v>20194.616419919243</v>
      </c>
      <c r="I15" s="10">
        <f t="shared" si="8"/>
        <v>8605.7604306864068</v>
      </c>
      <c r="J15" s="10">
        <f>SUM(J12:J14)</f>
        <v>83400</v>
      </c>
      <c r="K15" s="10">
        <f t="shared" si="8"/>
        <v>86319</v>
      </c>
      <c r="L15" s="10">
        <f t="shared" si="8"/>
        <v>88908.57</v>
      </c>
      <c r="M15" s="10">
        <f t="shared" si="8"/>
        <v>91575.82710000001</v>
      </c>
      <c r="N15" s="3"/>
      <c r="O15" s="3"/>
      <c r="P15" s="3"/>
      <c r="Q15" s="3"/>
      <c r="R15" s="3"/>
    </row>
    <row r="16" spans="2:20" x14ac:dyDescent="0.2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x14ac:dyDescent="0.25">
      <c r="B17" s="6" t="s">
        <v>70</v>
      </c>
      <c r="C17" s="10">
        <f>C10+C15</f>
        <v>131500</v>
      </c>
      <c r="D17" s="10">
        <f t="shared" ref="D17:M17" si="9">D10+D15</f>
        <v>50253.562584118445</v>
      </c>
      <c r="E17" s="10">
        <f t="shared" si="9"/>
        <v>45503.802153432036</v>
      </c>
      <c r="F17" s="10">
        <f t="shared" si="9"/>
        <v>22969.376850605651</v>
      </c>
      <c r="G17" s="10">
        <f t="shared" si="9"/>
        <v>18530.820995962316</v>
      </c>
      <c r="H17" s="10">
        <f t="shared" si="9"/>
        <v>18219.616419919243</v>
      </c>
      <c r="I17" s="10">
        <f t="shared" si="9"/>
        <v>8605.7604306864068</v>
      </c>
      <c r="J17" s="10">
        <f>J10+J15</f>
        <v>129745</v>
      </c>
      <c r="K17" s="10">
        <f t="shared" si="9"/>
        <v>132947.6</v>
      </c>
      <c r="L17" s="10">
        <f t="shared" si="9"/>
        <v>135802.628</v>
      </c>
      <c r="M17" s="10">
        <f t="shared" si="9"/>
        <v>138752.40684000001</v>
      </c>
      <c r="N17" s="3"/>
      <c r="O17" s="3"/>
      <c r="P17" s="3"/>
      <c r="Q17" s="3"/>
      <c r="R17" s="3"/>
    </row>
    <row r="18" spans="2:18" x14ac:dyDescent="0.25"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"/>
      <c r="O18" s="3"/>
      <c r="P18" s="3"/>
      <c r="Q18" s="3"/>
      <c r="R18" s="3"/>
    </row>
    <row r="19" spans="2:18" x14ac:dyDescent="0.25">
      <c r="B19" s="7" t="s">
        <v>95</v>
      </c>
      <c r="C19" s="13">
        <v>-6800</v>
      </c>
      <c r="D19" s="13">
        <v>-3400</v>
      </c>
      <c r="E19" s="13">
        <v>-2451</v>
      </c>
      <c r="F19" s="13">
        <f>-623-676</f>
        <v>-1299</v>
      </c>
      <c r="G19" s="13"/>
      <c r="H19" s="13">
        <f t="shared" ref="H19:H20" si="10">E19+F19-D19</f>
        <v>-350</v>
      </c>
      <c r="I19" s="13"/>
      <c r="J19" s="13">
        <v>-6800</v>
      </c>
      <c r="K19" s="13">
        <v>-6800</v>
      </c>
      <c r="L19" s="13">
        <v>-6800</v>
      </c>
      <c r="M19" s="13">
        <v>-6800</v>
      </c>
      <c r="N19" s="3"/>
      <c r="O19" s="3"/>
      <c r="P19" s="3"/>
      <c r="Q19" s="3"/>
      <c r="R19" s="3"/>
    </row>
    <row r="20" spans="2:18" x14ac:dyDescent="0.25">
      <c r="B20" s="7" t="s">
        <v>89</v>
      </c>
      <c r="C20" s="13">
        <v>-24000</v>
      </c>
      <c r="D20" s="13">
        <v>-12250</v>
      </c>
      <c r="E20" s="13">
        <v>-12250</v>
      </c>
      <c r="F20" s="10"/>
      <c r="G20" s="10"/>
      <c r="H20" s="13">
        <f t="shared" si="10"/>
        <v>0</v>
      </c>
      <c r="I20" s="13"/>
      <c r="J20" s="13">
        <v>-24000</v>
      </c>
      <c r="K20" s="13">
        <v>-24000</v>
      </c>
      <c r="L20" s="13">
        <v>-24000</v>
      </c>
      <c r="M20" s="13">
        <v>-24000</v>
      </c>
      <c r="N20" s="3"/>
      <c r="O20" s="3"/>
      <c r="P20" s="3"/>
      <c r="Q20" s="3"/>
      <c r="R20" s="3"/>
    </row>
    <row r="21" spans="2:18" x14ac:dyDescent="0.25">
      <c r="B21" s="6" t="s">
        <v>0</v>
      </c>
      <c r="C21" s="10">
        <f>SUM(C19:C20)</f>
        <v>-30800</v>
      </c>
      <c r="D21" s="10">
        <f t="shared" ref="D21:M21" si="11">SUM(D19:D20)</f>
        <v>-15650</v>
      </c>
      <c r="E21" s="10">
        <f t="shared" si="11"/>
        <v>-14701</v>
      </c>
      <c r="F21" s="10">
        <f t="shared" si="11"/>
        <v>-1299</v>
      </c>
      <c r="G21" s="10">
        <f t="shared" ref="G21:I21" si="12">SUM(G19:G20)</f>
        <v>0</v>
      </c>
      <c r="H21" s="10">
        <f t="shared" si="12"/>
        <v>-350</v>
      </c>
      <c r="I21" s="10">
        <f t="shared" si="12"/>
        <v>0</v>
      </c>
      <c r="J21" s="10">
        <f>SUM(J19:J20)</f>
        <v>-30800</v>
      </c>
      <c r="K21" s="10">
        <f t="shared" si="11"/>
        <v>-30800</v>
      </c>
      <c r="L21" s="10">
        <f t="shared" si="11"/>
        <v>-30800</v>
      </c>
      <c r="M21" s="10">
        <f t="shared" si="11"/>
        <v>-30800</v>
      </c>
      <c r="N21" s="3"/>
      <c r="O21" s="3"/>
      <c r="P21" s="3"/>
      <c r="Q21" s="3"/>
      <c r="R21" s="3"/>
    </row>
    <row r="22" spans="2:18" x14ac:dyDescent="0.25"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"/>
      <c r="O22" s="3"/>
      <c r="P22" s="3"/>
      <c r="Q22" s="3"/>
      <c r="R22" s="3"/>
    </row>
    <row r="23" spans="2:18" x14ac:dyDescent="0.25">
      <c r="B23" s="6" t="s">
        <v>73</v>
      </c>
      <c r="C23" s="10">
        <f t="shared" ref="C23:M23" si="13">C17+C21</f>
        <v>100700</v>
      </c>
      <c r="D23" s="10">
        <f t="shared" si="13"/>
        <v>34603.562584118445</v>
      </c>
      <c r="E23" s="10">
        <f t="shared" si="13"/>
        <v>30802.802153432036</v>
      </c>
      <c r="F23" s="10">
        <f t="shared" si="13"/>
        <v>21670.376850605651</v>
      </c>
      <c r="G23" s="10">
        <f t="shared" ref="G23:I23" si="14">G17+G21</f>
        <v>18530.820995962316</v>
      </c>
      <c r="H23" s="10">
        <f t="shared" si="14"/>
        <v>17869.616419919243</v>
      </c>
      <c r="I23" s="10">
        <f t="shared" si="14"/>
        <v>8605.7604306864068</v>
      </c>
      <c r="J23" s="10">
        <f t="shared" ref="J23" si="15">J17+J21</f>
        <v>98945</v>
      </c>
      <c r="K23" s="10">
        <f t="shared" si="13"/>
        <v>102147.6</v>
      </c>
      <c r="L23" s="10">
        <f t="shared" si="13"/>
        <v>105002.628</v>
      </c>
      <c r="M23" s="10">
        <f t="shared" si="13"/>
        <v>107952.40684000001</v>
      </c>
      <c r="N23" s="3"/>
      <c r="O23" s="3"/>
      <c r="P23" s="3"/>
      <c r="Q23" s="3"/>
      <c r="R23" s="3"/>
    </row>
    <row r="25" spans="2:18" x14ac:dyDescent="0.25">
      <c r="B25" s="21"/>
    </row>
    <row r="26" spans="2:18" x14ac:dyDescent="0.25">
      <c r="B26" s="26"/>
    </row>
    <row r="29" spans="2:18" x14ac:dyDescent="0.25">
      <c r="B29" s="37"/>
    </row>
  </sheetData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Summary Net</vt:lpstr>
      <vt:lpstr>Summary Gross</vt:lpstr>
      <vt:lpstr>Museum</vt:lpstr>
      <vt:lpstr>Caravan Site</vt:lpstr>
      <vt:lpstr>CCTV</vt:lpstr>
      <vt:lpstr>Events</vt:lpstr>
      <vt:lpstr>Marina Theatre</vt:lpstr>
      <vt:lpstr>Open Spaces</vt:lpstr>
      <vt:lpstr>Sparrows Nest</vt:lpstr>
      <vt:lpstr>Belle Vue</vt:lpstr>
      <vt:lpstr>Kensington Gdns</vt:lpstr>
      <vt:lpstr>Play Areas</vt:lpstr>
      <vt:lpstr>Denes Oval</vt:lpstr>
      <vt:lpstr>Normanston Park</vt:lpstr>
      <vt:lpstr>Pakefield St PC</vt:lpstr>
      <vt:lpstr>The Triangle PC</vt:lpstr>
      <vt:lpstr>Kn Gdns PC</vt:lpstr>
      <vt:lpstr>Kirkley Cliff Rd PC</vt:lpstr>
      <vt:lpstr>Low Cemetery PC</vt:lpstr>
      <vt:lpstr>Miscellaneous</vt:lpstr>
      <vt:lpstr>Town Hall</vt:lpstr>
      <vt:lpstr>Administration</vt:lpstr>
      <vt:lpstr>Reserve Balances</vt:lpstr>
      <vt:lpstr>Sheet1</vt:lpstr>
      <vt:lpstr>'Reserve Balances'!Print_Area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Mew</dc:creator>
  <cp:lastModifiedBy>Shona Bendix</cp:lastModifiedBy>
  <cp:lastPrinted>2017-10-13T08:36:06Z</cp:lastPrinted>
  <dcterms:created xsi:type="dcterms:W3CDTF">2016-03-24T10:27:23Z</dcterms:created>
  <dcterms:modified xsi:type="dcterms:W3CDTF">2017-11-04T15:33:40Z</dcterms:modified>
</cp:coreProperties>
</file>