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ummary Net" sheetId="1" r:id="rId1"/>
    <sheet name="Summary Gross" sheetId="2" r:id="rId2"/>
    <sheet name="Museum" sheetId="3" r:id="rId3"/>
    <sheet name="Caravan Site" sheetId="4" r:id="rId4"/>
    <sheet name="CCTV" sheetId="5" r:id="rId5"/>
    <sheet name="Events" sheetId="6" r:id="rId6"/>
    <sheet name="Marina Theatre" sheetId="7" r:id="rId7"/>
    <sheet name="Open Spaces" sheetId="8" r:id="rId8"/>
    <sheet name="Sparrows Nest" sheetId="9" r:id="rId9"/>
    <sheet name="Belle Vue" sheetId="10" r:id="rId10"/>
    <sheet name="Kensington Gdns" sheetId="11" r:id="rId11"/>
    <sheet name="Play Areas" sheetId="12" r:id="rId12"/>
    <sheet name="Denes Oval" sheetId="13" r:id="rId13"/>
    <sheet name="Normanston Park" sheetId="14" r:id="rId14"/>
    <sheet name="Pakefield St PC" sheetId="15" r:id="rId15"/>
    <sheet name="The Triangle PC" sheetId="16" r:id="rId16"/>
    <sheet name="Kn Gdns PC" sheetId="17" r:id="rId17"/>
    <sheet name="Kirkley Cliff Rd PC" sheetId="18" r:id="rId18"/>
    <sheet name="Low Cemetery PC" sheetId="19" r:id="rId19"/>
    <sheet name="Miscellaneous" sheetId="20" r:id="rId20"/>
    <sheet name="Town Hall" sheetId="21" r:id="rId21"/>
    <sheet name="Administration" sheetId="22" r:id="rId22"/>
    <sheet name="Reserve Balances" sheetId="23" r:id="rId23"/>
    <sheet name="Sheet1" sheetId="24" r:id="rId24"/>
  </sheets>
  <definedNames>
    <definedName name="_xlnm.Print_Area" localSheetId="22">'Reserve Balances'!$A$4:$AO$31</definedName>
  </definedNames>
  <calcPr fullCalcOnLoad="1"/>
</workbook>
</file>

<file path=xl/sharedStrings.xml><?xml version="1.0" encoding="utf-8"?>
<sst xmlns="http://schemas.openxmlformats.org/spreadsheetml/2006/main" count="1010" uniqueCount="220">
  <si>
    <t>Total Income</t>
  </si>
  <si>
    <t>Support Services</t>
  </si>
  <si>
    <t>Capital / Other Adjs</t>
  </si>
  <si>
    <t>Pension Adjs</t>
  </si>
  <si>
    <t>Total</t>
  </si>
  <si>
    <t>£</t>
  </si>
  <si>
    <t>Events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</si>
  <si>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</si>
  <si>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</si>
  <si>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</si>
  <si>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</si>
  <si>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</si>
  <si>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</si>
  <si>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</si>
  <si>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Town Clerk - Basic Salary</t>
  </si>
  <si>
    <t>Deputy Town Clerk - Basic Salary</t>
  </si>
  <si>
    <t>Assets / Services Manager - Basic Salary</t>
  </si>
  <si>
    <t>Marketing / Communities Manager -Basic Salary</t>
  </si>
  <si>
    <t>Administration Officer - Basic Salary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</si>
  <si>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</si>
  <si>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</si>
  <si>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</si>
  <si>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</si>
  <si>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</si>
  <si>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</si>
  <si>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</si>
  <si>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</si>
  <si>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</si>
  <si>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</si>
  <si>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</si>
  <si>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</si>
  <si>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</si>
  <si>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</si>
  <si>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Miscellaneous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</si>
  <si>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</si>
  <si>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</si>
  <si>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</si>
  <si>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</si>
  <si>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</si>
  <si>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</si>
  <si>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</si>
  <si>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</si>
  <si>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</si>
  <si>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</si>
  <si>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</si>
  <si>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</si>
  <si>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</si>
  <si>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</si>
  <si>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</si>
  <si>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</si>
  <si>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</si>
  <si>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</si>
  <si>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</si>
  <si>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</si>
  <si>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</si>
  <si>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</si>
  <si>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</si>
  <si>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</si>
  <si>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</si>
  <si>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</si>
  <si>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</si>
  <si>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</si>
  <si>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</si>
  <si>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</si>
  <si>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</si>
  <si>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</si>
  <si>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</si>
  <si>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</si>
  <si>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</si>
  <si>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</si>
  <si>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</si>
  <si>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</si>
  <si>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</si>
  <si>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</si>
  <si>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>Arts, Heritage, &amp; Museums - RNPSA Museum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</si>
  <si>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</si>
  <si>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</si>
  <si>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</si>
  <si>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</si>
  <si>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</si>
  <si>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</si>
  <si>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</si>
  <si>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</si>
  <si>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</si>
  <si>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</si>
  <si>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</si>
  <si>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</si>
  <si>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</si>
  <si>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</si>
  <si>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</si>
  <si>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</si>
  <si>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</si>
  <si>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</si>
  <si>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</si>
  <si>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</si>
  <si>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</si>
  <si>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</si>
  <si>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</si>
  <si>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</si>
  <si>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</si>
  <si>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</si>
  <si>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</si>
  <si>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</si>
  <si>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</si>
  <si>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</si>
  <si>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</si>
  <si>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</si>
  <si>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</si>
  <si>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and Open Spaces</t>
  </si>
  <si>
    <t>Allotments - Administration Fee</t>
  </si>
  <si>
    <t>Town Hall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</si>
  <si>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</si>
  <si>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</si>
  <si>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</si>
  <si>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</si>
  <si>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</si>
  <si>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</si>
  <si>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</si>
  <si>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</si>
  <si>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</si>
  <si>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</si>
  <si>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</si>
  <si>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LOWESTOFT TOWN COUNCIL PRECEPT AMOUNTS</t>
  </si>
  <si>
    <t>Council Tax Base</t>
  </si>
  <si>
    <t>Council Tax:</t>
  </si>
  <si>
    <t>2017/18 
Per year (£)</t>
  </si>
  <si>
    <t>2017/18
Per month (£)</t>
  </si>
  <si>
    <t>2017/18
Per week (£)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</si>
  <si>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</si>
  <si>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</si>
  <si>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</si>
  <si>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</si>
  <si>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</si>
  <si>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</si>
  <si>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</si>
  <si>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</si>
  <si>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2017/18 Forecast</t>
  </si>
  <si>
    <t>Repairs &amp; Maintenance Provision</t>
  </si>
  <si>
    <t>Allotments Rental Income</t>
  </si>
  <si>
    <t>Maintenance Charges</t>
  </si>
  <si>
    <t>Total Maintenance Charges</t>
  </si>
  <si>
    <t>Precept</t>
  </si>
  <si>
    <t>2017/18 WDC Commitments</t>
  </si>
  <si>
    <t>Interim Support</t>
  </si>
  <si>
    <t>Asset Management</t>
  </si>
  <si>
    <t>Play Areas - General</t>
  </si>
  <si>
    <t>Misc Supplies &amp; Services / Advertising</t>
  </si>
  <si>
    <t>Property Lettings</t>
  </si>
  <si>
    <t>Building Maintenance</t>
  </si>
  <si>
    <t>Marina Theatre Trust Management Fee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</si>
  <si>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</si>
  <si>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</si>
  <si>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</si>
  <si>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</si>
  <si>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</si>
  <si>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</si>
  <si>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VAT Other</t>
  </si>
  <si>
    <t>Expenditure</t>
  </si>
  <si>
    <t>Income</t>
  </si>
  <si>
    <t>Lowestoft Town Council Summary Budget - Gross Expenditure &amp; Income</t>
  </si>
  <si>
    <t>Miscellaneous &amp; Reserve Contributions</t>
  </si>
  <si>
    <t>Total Contributions to Reserves</t>
  </si>
  <si>
    <t>Sparrows Nest R&amp;M Provision</t>
  </si>
  <si>
    <t>Belle Vue R&amp;M Provision</t>
  </si>
  <si>
    <t>2018/19 
Per year (£)</t>
  </si>
  <si>
    <t>Transfer (to) / from General Reserve</t>
  </si>
  <si>
    <t>General Reserve</t>
  </si>
  <si>
    <t>Brought Forward</t>
  </si>
  <si>
    <t>Carried Forward</t>
  </si>
  <si>
    <t>2019/20 
Per year (£)</t>
  </si>
  <si>
    <t>2020/21 
Per year (£)</t>
  </si>
  <si>
    <t>2018/19 Draft Budget</t>
  </si>
  <si>
    <t>BID Levy</t>
  </si>
  <si>
    <t>Repairs and Maintenance Provision</t>
  </si>
  <si>
    <t xml:space="preserve">Play Areas Refurbishment Provision </t>
  </si>
  <si>
    <t>2011/12 Movements</t>
  </si>
  <si>
    <t>2013/14 Movements</t>
  </si>
  <si>
    <t>2014/15 Movements</t>
  </si>
  <si>
    <t>2015/16 Movements</t>
  </si>
  <si>
    <t>2016/17 Movements</t>
  </si>
  <si>
    <t>ACTUAL</t>
  </si>
  <si>
    <t>BUDGET</t>
  </si>
  <si>
    <t>Closing  Balance 31/03/12</t>
  </si>
  <si>
    <t>Opening Balance 01/04/13</t>
  </si>
  <si>
    <t>Closing  Balance 31/03/14</t>
  </si>
  <si>
    <t>Closing  Balance 31/03/15</t>
  </si>
  <si>
    <t>Current Closing  Balance 31/03/17</t>
  </si>
  <si>
    <t>2017/18 Movements</t>
  </si>
  <si>
    <t>Current Closing  Balance 31/03/18</t>
  </si>
  <si>
    <t>Closing  Balance 31/03/18</t>
  </si>
  <si>
    <t>2018/19 Movements</t>
  </si>
  <si>
    <t>Current Closing  Balance 31/03/19</t>
  </si>
  <si>
    <t>Closing  Balance 31/03/19</t>
  </si>
  <si>
    <t>2019/20 Movements</t>
  </si>
  <si>
    <t>Current Closing  Balance 31/03/20</t>
  </si>
  <si>
    <t>Closing  Balance 31/03/20</t>
  </si>
  <si>
    <t>2020/21 Movements</t>
  </si>
  <si>
    <t>Closing  Balance 31/03/21</t>
  </si>
  <si>
    <t>Opening Balance 01/04/11</t>
  </si>
  <si>
    <t>Transfers In</t>
  </si>
  <si>
    <t>Transfers Out</t>
  </si>
  <si>
    <t>1617 Current Transfers In</t>
  </si>
  <si>
    <t>1617 Current Transfers Out</t>
  </si>
  <si>
    <t>1617 Revised Transfers between Reserves</t>
  </si>
  <si>
    <t>1718 Current Transfers In</t>
  </si>
  <si>
    <t>1718 Current Transfers Out</t>
  </si>
  <si>
    <t>1819 Current Transfers In</t>
  </si>
  <si>
    <t>1819 Current Transfers Out</t>
  </si>
  <si>
    <t>1920 Current Transfers In</t>
  </si>
  <si>
    <t>1920 Current Transfers Out</t>
  </si>
  <si>
    <t>£000</t>
  </si>
  <si>
    <t>Earmarked Reserves - Revenue:</t>
  </si>
  <si>
    <t>Opening Balance 01/04/17</t>
  </si>
  <si>
    <t>Parks Repairs &amp; Maintenance</t>
  </si>
  <si>
    <t xml:space="preserve">Play Areas Refurbishment </t>
  </si>
  <si>
    <t xml:space="preserve">Elections </t>
  </si>
  <si>
    <t>Earmarked Reserves - Revenue Total</t>
  </si>
  <si>
    <t>Lowestoft Town Council Reserve Balances</t>
  </si>
  <si>
    <t>2017/18 - 2020/21</t>
  </si>
  <si>
    <t>November 2017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</si>
</sst>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\ 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wrapText="1"/>
    </xf>
    <xf numFmtId="164" fontId="39" fillId="0" borderId="0" xfId="42" applyNumberFormat="1" applyFont="1" applyAlignment="1">
      <alignment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5" fontId="0" fillId="0" borderId="10" xfId="42" applyNumberFormat="1" applyFont="1" applyFill="1" applyBorder="1" applyAlignment="1">
      <alignment/>
    </xf>
    <xf numFmtId="165" fontId="39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39" fillId="0" borderId="10" xfId="0" applyFont="1" applyBorder="1" applyAlignment="1">
      <alignment horizontal="center" wrapText="1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39" fillId="0" borderId="10" xfId="0" applyFont="1" applyBorder="1" applyAlignment="1">
      <alignment horizontal="right" wrapText="1"/>
    </xf>
    <xf numFmtId="0" fontId="39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3" fontId="39" fillId="0" borderId="10" xfId="42" applyFont="1" applyBorder="1" applyAlignment="1">
      <alignment/>
    </xf>
    <xf numFmtId="2" fontId="3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17" fontId="39" fillId="0" borderId="10" xfId="0" applyNumberFormat="1" applyFont="1" applyBorder="1" applyAlignment="1" quotePrefix="1">
      <alignment wrapText="1"/>
    </xf>
    <xf numFmtId="0" fontId="39" fillId="0" borderId="10" xfId="0" applyFont="1" applyFill="1" applyBorder="1" applyAlignment="1">
      <alignment horizontal="right" wrapText="1"/>
    </xf>
    <xf numFmtId="165" fontId="0" fillId="0" borderId="10" xfId="0" applyNumberFormat="1" applyBorder="1" applyAlignment="1">
      <alignment/>
    </xf>
    <xf numFmtId="165" fontId="39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horizontal="center" wrapText="1"/>
    </xf>
    <xf numFmtId="3" fontId="0" fillId="0" borderId="11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39" fillId="0" borderId="11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66" fontId="8" fillId="3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6" fontId="9" fillId="33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6" fontId="7" fillId="33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 quotePrefix="1">
      <alignment horizontal="center" wrapText="1"/>
    </xf>
    <xf numFmtId="3" fontId="7" fillId="33" borderId="10" xfId="0" applyNumberFormat="1" applyFont="1" applyFill="1" applyBorder="1" applyAlignment="1" quotePrefix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33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7" fillId="33" borderId="10" xfId="0" applyNumberFormat="1" applyFont="1" applyFill="1" applyBorder="1" applyAlignment="1">
      <alignment/>
    </xf>
    <xf numFmtId="166" fontId="6" fillId="0" borderId="13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4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right"/>
    </xf>
    <xf numFmtId="8" fontId="8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66" fontId="7" fillId="33" borderId="15" xfId="0" applyNumberFormat="1" applyFont="1" applyFill="1" applyBorder="1" applyAlignment="1">
      <alignment horizontal="right"/>
    </xf>
    <xf numFmtId="0" fontId="42" fillId="0" borderId="17" xfId="0" applyFont="1" applyBorder="1" applyAlignment="1">
      <alignment wrapText="1"/>
    </xf>
    <xf numFmtId="4" fontId="6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vertical="top"/>
    </xf>
    <xf numFmtId="0" fontId="6" fillId="0" borderId="19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39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165" fontId="39" fillId="0" borderId="1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63" applyNumberFormat="1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4"/>
  <sheetViews>
    <sheetView tabSelected="1" zoomScalePageLayoutView="0" workbookViewId="0" topLeftCell="A1">
      <selection activeCell="B51" sqref="B51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9" t="s">
        <v>120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ht="15">
      <c r="B3" s="31" t="s">
        <v>219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6" t="str">
        <f>Museum!B2</f>
        <v>Arts, Heritage, &amp; Museums - RNPSA Museum</v>
      </c>
      <c r="C5" s="10">
        <f>Museum!C14</f>
        <v>1500</v>
      </c>
      <c r="D5" s="10">
        <f>Museum!D14</f>
        <v>106</v>
      </c>
      <c r="E5" s="10">
        <f>Museum!E14</f>
        <v>181</v>
      </c>
      <c r="F5" s="10">
        <f>Museum!F14</f>
        <v>0</v>
      </c>
      <c r="G5" s="10">
        <f>Museum!G14</f>
        <v>0</v>
      </c>
      <c r="H5" s="10">
        <f>Museum!H14</f>
        <v>75</v>
      </c>
      <c r="I5" s="10">
        <f>Museum!I14</f>
        <v>0</v>
      </c>
      <c r="J5" s="10">
        <f>Museum!J14</f>
        <v>1950</v>
      </c>
      <c r="K5" s="10">
        <f>Museum!K14</f>
        <v>1996.5</v>
      </c>
      <c r="L5" s="10">
        <f>Museum!L14</f>
        <v>2044.395</v>
      </c>
      <c r="M5" s="10">
        <f>Museum!M14</f>
        <v>2093.72685</v>
      </c>
      <c r="N5" s="3"/>
      <c r="O5" s="3"/>
      <c r="P5" s="3"/>
      <c r="Q5" s="3"/>
      <c r="R5" s="3"/>
    </row>
    <row r="6" spans="2:18" ht="15">
      <c r="B6" s="6" t="str">
        <f>'Caravan Site'!B2</f>
        <v>Camping &amp; Caravan Site - Tingdene</v>
      </c>
      <c r="C6" s="10">
        <f>'Caravan Site'!C13</f>
        <v>-78700</v>
      </c>
      <c r="D6" s="10">
        <f>'Caravan Site'!D13</f>
        <v>0</v>
      </c>
      <c r="E6" s="10">
        <f>'Caravan Site'!E13</f>
        <v>0</v>
      </c>
      <c r="F6" s="10">
        <f>'Caravan Site'!F13</f>
        <v>0</v>
      </c>
      <c r="G6" s="10">
        <f>'Caravan Site'!G13</f>
        <v>0</v>
      </c>
      <c r="H6" s="10">
        <f>'Caravan Site'!H13</f>
        <v>0</v>
      </c>
      <c r="I6" s="10">
        <f>'Caravan Site'!I13</f>
        <v>0</v>
      </c>
      <c r="J6" s="10">
        <f>'Caravan Site'!J13</f>
        <v>-78700</v>
      </c>
      <c r="K6" s="10">
        <f>'Caravan Site'!K13</f>
        <v>-78700</v>
      </c>
      <c r="L6" s="10">
        <f>'Caravan Site'!L13</f>
        <v>-78700</v>
      </c>
      <c r="M6" s="10">
        <f>'Caravan Site'!M13</f>
        <v>-78700</v>
      </c>
      <c r="N6" s="3"/>
      <c r="O6" s="3"/>
      <c r="P6" s="3"/>
      <c r="Q6" s="3"/>
      <c r="R6" s="3"/>
    </row>
    <row r="7" spans="2:18" ht="15">
      <c r="B7" s="6" t="str">
        <f>CCTV!B2</f>
        <v>CCTV</v>
      </c>
      <c r="C7" s="10">
        <f>CCTV!C17</f>
        <v>292400</v>
      </c>
      <c r="D7" s="10">
        <f>CCTV!D17</f>
        <v>138405.84791386273</v>
      </c>
      <c r="E7" s="10">
        <f>CCTV!E17</f>
        <v>90386</v>
      </c>
      <c r="F7" s="10">
        <f>CCTV!F17</f>
        <v>45910.847913862715</v>
      </c>
      <c r="G7" s="10">
        <f>CCTV!G17</f>
        <v>117894.15208613727</v>
      </c>
      <c r="H7" s="10">
        <f>CCTV!H17</f>
        <v>-2109</v>
      </c>
      <c r="I7" s="10">
        <f>CCTV!I17</f>
        <v>18042.960969044412</v>
      </c>
      <c r="J7" s="10">
        <f>CCTV!J17</f>
        <v>255245</v>
      </c>
      <c r="K7" s="10">
        <f>CCTV!K17</f>
        <v>264171.85</v>
      </c>
      <c r="L7" s="10">
        <f>CCTV!L17</f>
        <v>272097.0055</v>
      </c>
      <c r="M7" s="10">
        <f>CCTV!M17</f>
        <v>280259.91566500004</v>
      </c>
      <c r="N7" s="3"/>
      <c r="O7" s="3"/>
      <c r="P7" s="3"/>
      <c r="Q7" s="3"/>
      <c r="R7" s="3"/>
    </row>
    <row r="8" spans="2:18" ht="15">
      <c r="B8" s="6" t="str">
        <f>Events!B2</f>
        <v>Events</v>
      </c>
      <c r="C8" s="10">
        <f>Events!C16</f>
        <v>-2400</v>
      </c>
      <c r="D8" s="10">
        <f>Events!D16</f>
        <v>120</v>
      </c>
      <c r="E8" s="10">
        <f>Events!E16</f>
        <v>120</v>
      </c>
      <c r="F8" s="10">
        <f>Events!F16</f>
        <v>0</v>
      </c>
      <c r="G8" s="10">
        <f>Events!G16</f>
        <v>0</v>
      </c>
      <c r="H8" s="10">
        <f>Events!H16</f>
        <v>0</v>
      </c>
      <c r="I8" s="10">
        <f>Events!I16</f>
        <v>0</v>
      </c>
      <c r="J8" s="10">
        <f>Events!J16</f>
        <v>-2400</v>
      </c>
      <c r="K8" s="10">
        <f>Events!K16</f>
        <v>-2367</v>
      </c>
      <c r="L8" s="10">
        <f>Events!L16</f>
        <v>-2333.01</v>
      </c>
      <c r="M8" s="10">
        <f>Events!M16</f>
        <v>-2298.0002999999997</v>
      </c>
      <c r="N8" s="3"/>
      <c r="O8" s="3"/>
      <c r="P8" s="3"/>
      <c r="Q8" s="3"/>
      <c r="R8" s="3"/>
    </row>
    <row r="9" spans="2:18" ht="15">
      <c r="B9" s="6" t="str">
        <f>'Marina Theatre'!B2</f>
        <v>Marina Theatre</v>
      </c>
      <c r="C9" s="10">
        <f>'Marina Theatre'!C17</f>
        <v>159100</v>
      </c>
      <c r="D9" s="10">
        <f>'Marina Theatre'!D17</f>
        <v>154207</v>
      </c>
      <c r="E9" s="10">
        <f>'Marina Theatre'!E17</f>
        <v>207</v>
      </c>
      <c r="F9" s="10">
        <f>'Marina Theatre'!F17</f>
        <v>150000</v>
      </c>
      <c r="G9" s="10">
        <f>'Marina Theatre'!G17</f>
        <v>0</v>
      </c>
      <c r="H9" s="10">
        <f>'Marina Theatre'!H17</f>
        <v>-4000</v>
      </c>
      <c r="I9" s="10">
        <f>'Marina Theatre'!I17</f>
        <v>0</v>
      </c>
      <c r="J9" s="10">
        <f>'Marina Theatre'!J17</f>
        <v>155100</v>
      </c>
      <c r="K9" s="10">
        <f>'Marina Theatre'!K17</f>
        <v>160000</v>
      </c>
      <c r="L9" s="10">
        <f>'Marina Theatre'!L17</f>
        <v>160000</v>
      </c>
      <c r="M9" s="10">
        <f>'Marina Theatre'!M17</f>
        <v>160000</v>
      </c>
      <c r="N9" s="3"/>
      <c r="O9" s="3"/>
      <c r="P9" s="3"/>
      <c r="Q9" s="3"/>
      <c r="R9" s="3"/>
    </row>
    <row r="10" spans="2:18" ht="15">
      <c r="B10" s="6" t="str">
        <f>'Open Spaces'!B2</f>
        <v>Allotments and Open Spaces</v>
      </c>
      <c r="C10" s="10">
        <f>'Open Spaces'!C20</f>
        <v>7200</v>
      </c>
      <c r="D10" s="10">
        <f>'Open Spaces'!D20</f>
        <v>4274.697173620458</v>
      </c>
      <c r="E10" s="10">
        <f>'Open Spaces'!E20</f>
        <v>3138.4925975773895</v>
      </c>
      <c r="F10" s="10">
        <f>'Open Spaces'!F20</f>
        <v>1136.2045760430685</v>
      </c>
      <c r="G10" s="10">
        <f>'Open Spaces'!G20</f>
        <v>2925.3028263795422</v>
      </c>
      <c r="H10" s="10">
        <f>'Open Spaces'!H20</f>
        <v>0</v>
      </c>
      <c r="I10" s="10">
        <f>'Open Spaces'!I20</f>
        <v>447.69851951547776</v>
      </c>
      <c r="J10" s="10">
        <f>'Open Spaces'!J20</f>
        <v>6675.3</v>
      </c>
      <c r="K10" s="10">
        <f>'Open Spaces'!K20</f>
        <v>6895.8</v>
      </c>
      <c r="L10" s="10">
        <f>'Open Spaces'!L20</f>
        <v>7091.415</v>
      </c>
      <c r="M10" s="10">
        <f>'Open Spaces'!M20</f>
        <v>7292.898450000001</v>
      </c>
      <c r="N10" s="3"/>
      <c r="O10" s="3"/>
      <c r="P10" s="3"/>
      <c r="Q10" s="3"/>
      <c r="R10" s="3"/>
    </row>
    <row r="11" spans="2:18" ht="15">
      <c r="B11" s="6" t="str">
        <f>'Sparrows Nest'!B2</f>
        <v>Sparrows Nest Park &amp; Sports Ground</v>
      </c>
      <c r="C11" s="10">
        <f>'Sparrows Nest'!C23</f>
        <v>100700</v>
      </c>
      <c r="D11" s="10">
        <f>'Sparrows Nest'!D23</f>
        <v>34603.562584118445</v>
      </c>
      <c r="E11" s="10">
        <f>'Sparrows Nest'!E23</f>
        <v>30802.802153432036</v>
      </c>
      <c r="F11" s="10">
        <f>'Sparrows Nest'!F23</f>
        <v>21670.37685060565</v>
      </c>
      <c r="G11" s="10">
        <f>'Sparrows Nest'!G23</f>
        <v>18530.820995962316</v>
      </c>
      <c r="H11" s="10">
        <f>'Sparrows Nest'!H23</f>
        <v>17869.616419919243</v>
      </c>
      <c r="I11" s="10">
        <f>'Sparrows Nest'!I23</f>
        <v>8605.760430686407</v>
      </c>
      <c r="J11" s="10">
        <f>'Sparrows Nest'!J23</f>
        <v>98945</v>
      </c>
      <c r="K11" s="10">
        <f>'Sparrows Nest'!K23</f>
        <v>102147.6</v>
      </c>
      <c r="L11" s="10">
        <f>'Sparrows Nest'!L23</f>
        <v>105002.628</v>
      </c>
      <c r="M11" s="10">
        <f>'Sparrows Nest'!M23</f>
        <v>107952.40684000001</v>
      </c>
      <c r="N11" s="3"/>
      <c r="O11" s="3"/>
      <c r="P11" s="3"/>
      <c r="Q11" s="3"/>
      <c r="R11" s="3"/>
    </row>
    <row r="12" spans="2:18" ht="15">
      <c r="B12" s="6" t="str">
        <f>'Belle Vue'!B2</f>
        <v>Belle Vue Park </v>
      </c>
      <c r="C12" s="10">
        <f>'Belle Vue'!C17</f>
        <v>14600</v>
      </c>
      <c r="D12" s="10">
        <f>'Belle Vue'!D17</f>
        <v>8220.598923283984</v>
      </c>
      <c r="E12" s="10">
        <f>'Belle Vue'!E17</f>
        <v>4444</v>
      </c>
      <c r="F12" s="10">
        <f>'Belle Vue'!F17</f>
        <v>2885.598923283984</v>
      </c>
      <c r="G12" s="10">
        <f>'Belle Vue'!G17</f>
        <v>7429.401076716016</v>
      </c>
      <c r="H12" s="10">
        <f>'Belle Vue'!H17</f>
        <v>-891</v>
      </c>
      <c r="I12" s="10">
        <f>'Belle Vue'!I17</f>
        <v>1137.0121130551818</v>
      </c>
      <c r="J12" s="10">
        <f>'Belle Vue'!J17</f>
        <v>11830</v>
      </c>
      <c r="K12" s="10">
        <f>'Belle Vue'!K17</f>
        <v>12393</v>
      </c>
      <c r="L12" s="10">
        <f>'Belle Vue'!L17</f>
        <v>12892.89</v>
      </c>
      <c r="M12" s="10">
        <f>'Belle Vue'!M17</f>
        <v>13407.776700000002</v>
      </c>
      <c r="N12" s="3"/>
      <c r="O12" s="3"/>
      <c r="P12" s="3"/>
      <c r="Q12" s="3"/>
      <c r="R12" s="3"/>
    </row>
    <row r="13" spans="2:18" ht="15">
      <c r="B13" s="6" t="str">
        <f>'Kensington Gdns'!B2</f>
        <v>Kensington Gardens Park, Lake, &amp; Sports Ground </v>
      </c>
      <c r="C13" s="10">
        <f>'Kensington Gdns'!C20</f>
        <v>83300</v>
      </c>
      <c r="D13" s="10">
        <f>'Kensington Gdns'!D20</f>
        <v>43428.10901749664</v>
      </c>
      <c r="E13" s="10">
        <f>'Kensington Gdns'!E20</f>
        <v>26237</v>
      </c>
      <c r="F13" s="10">
        <f>'Kensington Gdns'!F20</f>
        <v>13772.109017496638</v>
      </c>
      <c r="G13" s="10">
        <f>'Kensington Gdns'!G20</f>
        <v>41278.89098250336</v>
      </c>
      <c r="H13" s="10">
        <f>'Kensington Gdns'!H20</f>
        <v>-3419</v>
      </c>
      <c r="I13" s="10">
        <f>'Kensington Gdns'!I20</f>
        <v>6317.523553162853</v>
      </c>
      <c r="J13" s="10">
        <f>'Kensington Gdns'!J20</f>
        <v>83260</v>
      </c>
      <c r="K13" s="10">
        <f>'Kensington Gdns'!K20</f>
        <v>86551.65</v>
      </c>
      <c r="L13" s="10">
        <f>'Kensington Gdns'!L20</f>
        <v>89497.5495</v>
      </c>
      <c r="M13" s="10">
        <f>'Kensington Gdns'!M20</f>
        <v>92531.825985</v>
      </c>
      <c r="N13" s="3"/>
      <c r="O13" s="3"/>
      <c r="P13" s="3"/>
      <c r="Q13" s="3"/>
      <c r="R13" s="3"/>
    </row>
    <row r="14" spans="2:18" ht="15">
      <c r="B14" s="6" t="str">
        <f>'Play Areas'!B2</f>
        <v>Play Areas</v>
      </c>
      <c r="C14" s="10">
        <f>'Play Areas'!C33</f>
        <v>39300</v>
      </c>
      <c r="D14" s="10">
        <f>'Play Areas'!D33</f>
        <v>18505.518169582767</v>
      </c>
      <c r="E14" s="10">
        <f>'Play Areas'!E33</f>
        <v>12009.690444145352</v>
      </c>
      <c r="F14" s="10">
        <f>'Play Areas'!F33</f>
        <v>6095.827725437418</v>
      </c>
      <c r="G14" s="10">
        <f>'Play Areas'!G33</f>
        <v>0</v>
      </c>
      <c r="H14" s="10">
        <f>'Play Areas'!H33</f>
        <v>-400</v>
      </c>
      <c r="I14" s="10">
        <f>'Play Areas'!I33</f>
        <v>0</v>
      </c>
      <c r="J14" s="10">
        <f>'Play Areas'!J33</f>
        <v>38000</v>
      </c>
      <c r="K14" s="10">
        <f>'Play Areas'!K33</f>
        <v>89309</v>
      </c>
      <c r="L14" s="10">
        <f>'Play Areas'!L33</f>
        <v>90488.27</v>
      </c>
      <c r="M14" s="10">
        <f>'Play Areas'!M33</f>
        <v>91702.91810000001</v>
      </c>
      <c r="N14" s="3"/>
      <c r="O14" s="3"/>
      <c r="P14" s="3"/>
      <c r="Q14" s="3"/>
      <c r="R14" s="3"/>
    </row>
    <row r="15" spans="2:18" ht="15">
      <c r="B15" s="6" t="str">
        <f>'Denes Oval'!B2</f>
        <v>Denes Oval</v>
      </c>
      <c r="C15" s="10">
        <f>'Denes Oval'!C19</f>
        <v>76000</v>
      </c>
      <c r="D15" s="10">
        <f>'Denes Oval'!D19</f>
        <v>40857.009421265146</v>
      </c>
      <c r="E15" s="10">
        <f>'Denes Oval'!E19</f>
        <v>29719</v>
      </c>
      <c r="F15" s="10">
        <f>'Denes Oval'!F19</f>
        <v>14280.009421265142</v>
      </c>
      <c r="G15" s="10">
        <f>'Denes Oval'!G19</f>
        <v>38492.990578734854</v>
      </c>
      <c r="H15" s="10">
        <f>'Denes Oval'!H19</f>
        <v>3142</v>
      </c>
      <c r="I15" s="10">
        <f>'Denes Oval'!I19</f>
        <v>5891.144010767159</v>
      </c>
      <c r="J15" s="10">
        <f>'Denes Oval'!J19</f>
        <v>76095</v>
      </c>
      <c r="K15" s="10">
        <f>'Denes Oval'!K19</f>
        <v>79089.35</v>
      </c>
      <c r="L15" s="10">
        <f>'Denes Oval'!L19</f>
        <v>81759.0305</v>
      </c>
      <c r="M15" s="10">
        <f>'Denes Oval'!M19</f>
        <v>84508.80141500001</v>
      </c>
      <c r="N15" s="3"/>
      <c r="O15" s="3"/>
      <c r="P15" s="3"/>
      <c r="Q15" s="3"/>
      <c r="R15" s="3"/>
    </row>
    <row r="16" spans="2:18" ht="15">
      <c r="B16" s="6" t="str">
        <f>'Normanston Park'!B2</f>
        <v>Normanston Park</v>
      </c>
      <c r="C16" s="10">
        <f>'Normanston Park'!C18</f>
        <v>87300</v>
      </c>
      <c r="D16" s="10">
        <f>'Normanston Park'!D18</f>
        <v>45610.948855989234</v>
      </c>
      <c r="E16" s="10">
        <f>'Normanston Park'!E18</f>
        <v>26526</v>
      </c>
      <c r="F16" s="10">
        <f>'Normanston Park'!F18</f>
        <v>15509.948855989234</v>
      </c>
      <c r="G16" s="10">
        <f>'Normanston Park'!G18</f>
        <v>42394.051144010766</v>
      </c>
      <c r="H16" s="10">
        <f>'Normanston Park'!H18</f>
        <v>-3575</v>
      </c>
      <c r="I16" s="10">
        <f>'Normanston Park'!I18</f>
        <v>6488.075370121131</v>
      </c>
      <c r="J16" s="10">
        <f>'Normanston Park'!J18</f>
        <v>85350</v>
      </c>
      <c r="K16" s="10">
        <f>'Normanston Park'!K18</f>
        <v>88692.49999999999</v>
      </c>
      <c r="L16" s="10">
        <f>'Normanston Park'!L18</f>
        <v>91678.775</v>
      </c>
      <c r="M16" s="10">
        <f>'Normanston Park'!M18</f>
        <v>94754.63824999999</v>
      </c>
      <c r="N16" s="3"/>
      <c r="O16" s="3"/>
      <c r="P16" s="3"/>
      <c r="Q16" s="3"/>
      <c r="R16" s="3"/>
    </row>
    <row r="17" spans="2:18" ht="15">
      <c r="B17" s="18" t="str">
        <f>'Pakefield St PC'!B2</f>
        <v>Pakefield Street Public Convenience</v>
      </c>
      <c r="C17" s="10">
        <f>'Pakefield St PC'!C16</f>
        <v>7800</v>
      </c>
      <c r="D17" s="10">
        <f>'Pakefield St PC'!D16</f>
        <v>4507.029609690444</v>
      </c>
      <c r="E17" s="10">
        <f>'Pakefield St PC'!E16</f>
        <v>3464</v>
      </c>
      <c r="F17" s="10">
        <f>'Pakefield St PC'!F16</f>
        <v>1207.029609690444</v>
      </c>
      <c r="G17" s="10">
        <f>'Pakefield St PC'!G16</f>
        <v>2692.970390309556</v>
      </c>
      <c r="H17" s="10">
        <f>'Pakefield St PC'!H16</f>
        <v>164</v>
      </c>
      <c r="I17" s="10">
        <f>'Pakefield St PC'!I16</f>
        <v>412.16689098250333</v>
      </c>
      <c r="J17" s="10">
        <f>'Pakefield St PC'!J16</f>
        <v>7942</v>
      </c>
      <c r="K17" s="10">
        <f>'Pakefield St PC'!K16</f>
        <v>8303</v>
      </c>
      <c r="L17" s="10">
        <f>'Pakefield St PC'!L16</f>
        <v>8553.99</v>
      </c>
      <c r="M17" s="10">
        <f>'Pakefield St PC'!M16</f>
        <v>8811.309699999998</v>
      </c>
      <c r="N17" s="3"/>
      <c r="O17" s="3"/>
      <c r="P17" s="3"/>
      <c r="Q17" s="3"/>
      <c r="R17" s="3"/>
    </row>
    <row r="18" spans="2:18" ht="15">
      <c r="B18" s="6" t="str">
        <f>'The Triangle PC'!B2</f>
        <v>The Triangle Public Convenience</v>
      </c>
      <c r="C18" s="10">
        <f>'The Triangle PC'!C15</f>
        <v>9500</v>
      </c>
      <c r="D18" s="10">
        <f>'The Triangle PC'!D15</f>
        <v>5235.309555854643</v>
      </c>
      <c r="E18" s="10">
        <f>'The Triangle PC'!E15</f>
        <v>3440</v>
      </c>
      <c r="F18" s="10">
        <f>'The Triangle PC'!F15</f>
        <v>1190.3095558546433</v>
      </c>
      <c r="G18" s="10">
        <f>'The Triangle PC'!G15</f>
        <v>3064.690444145357</v>
      </c>
      <c r="H18" s="10">
        <f>'The Triangle PC'!H15</f>
        <v>-605</v>
      </c>
      <c r="I18" s="10">
        <f>'The Triangle PC'!I15</f>
        <v>469.0174966352624</v>
      </c>
      <c r="J18" s="10">
        <f>'The Triangle PC'!J15</f>
        <v>9495</v>
      </c>
      <c r="K18" s="10">
        <f>'The Triangle PC'!K15</f>
        <v>9975</v>
      </c>
      <c r="L18" s="10">
        <f>'The Triangle PC'!L15</f>
        <v>10265.55</v>
      </c>
      <c r="M18" s="10">
        <f>'The Triangle PC'!M15</f>
        <v>10573.9165</v>
      </c>
      <c r="N18" s="3"/>
      <c r="O18" s="3"/>
      <c r="P18" s="3"/>
      <c r="Q18" s="3"/>
      <c r="R18" s="3"/>
    </row>
    <row r="19" spans="2:18" ht="15">
      <c r="B19" s="6" t="str">
        <f>'Kn Gdns PC'!B2</f>
        <v>Kensington Gardens Public Convenience</v>
      </c>
      <c r="C19" s="10">
        <f>'Kn Gdns PC'!C17</f>
        <v>21800</v>
      </c>
      <c r="D19" s="10">
        <f>'Kn Gdns PC'!D17</f>
        <v>12542.578734858682</v>
      </c>
      <c r="E19" s="10">
        <f>'Kn Gdns PC'!E17</f>
        <v>8709</v>
      </c>
      <c r="F19" s="10">
        <f>'Kn Gdns PC'!F17</f>
        <v>3458.578734858681</v>
      </c>
      <c r="G19" s="10">
        <f>'Kn Gdns PC'!G17</f>
        <v>8729.421265141318</v>
      </c>
      <c r="H19" s="10">
        <f>'Kn Gdns PC'!H17</f>
        <v>-375</v>
      </c>
      <c r="I19" s="10">
        <f>'Kn Gdns PC'!I17</f>
        <v>1335.9892328398385</v>
      </c>
      <c r="J19" s="10">
        <f>'Kn Gdns PC'!J17</f>
        <v>22117</v>
      </c>
      <c r="K19" s="10">
        <f>'Kn Gdns PC'!K17</f>
        <v>23118.8</v>
      </c>
      <c r="L19" s="10">
        <f>'Kn Gdns PC'!L17</f>
        <v>23814.564000000002</v>
      </c>
      <c r="M19" s="10">
        <f>'Kn Gdns PC'!M17</f>
        <v>24529.10092</v>
      </c>
      <c r="N19" s="3"/>
      <c r="O19" s="3"/>
      <c r="P19" s="3"/>
      <c r="Q19" s="3"/>
      <c r="R19" s="3"/>
    </row>
    <row r="20" spans="2:18" ht="15">
      <c r="B20" s="6" t="str">
        <f>'Kirkley Cliff Rd PC'!B2</f>
        <v>Kirkley Cliff Road Public Convenience</v>
      </c>
      <c r="C20" s="10">
        <f>'Kirkley Cliff Rd PC'!C16</f>
        <v>6200</v>
      </c>
      <c r="D20" s="10">
        <f>'Kirkley Cliff Rd PC'!D16</f>
        <v>3321.1695827725434</v>
      </c>
      <c r="E20" s="10">
        <f>'Kirkley Cliff Rd PC'!E16</f>
        <v>2203</v>
      </c>
      <c r="F20" s="10">
        <f>'Kirkley Cliff Rd PC'!F16</f>
        <v>1118.1695827725437</v>
      </c>
      <c r="G20" s="10">
        <f>'Kirkley Cliff Rd PC'!G16</f>
        <v>2878.8304172274566</v>
      </c>
      <c r="H20" s="10">
        <f>'Kirkley Cliff Rd PC'!H16</f>
        <v>0</v>
      </c>
      <c r="I20" s="10">
        <f>'Kirkley Cliff Rd PC'!I16</f>
        <v>440.592193808883</v>
      </c>
      <c r="J20" s="10">
        <f>'Kirkley Cliff Rd PC'!J16</f>
        <v>6200</v>
      </c>
      <c r="K20" s="10">
        <f>'Kirkley Cliff Rd PC'!K16</f>
        <v>6416.999999999999</v>
      </c>
      <c r="L20" s="10">
        <f>'Kirkley Cliff Rd PC'!L16</f>
        <v>6609.509999999999</v>
      </c>
      <c r="M20" s="10">
        <f>'Kirkley Cliff Rd PC'!M16</f>
        <v>6807.7953</v>
      </c>
      <c r="N20" s="3"/>
      <c r="O20" s="3"/>
      <c r="P20" s="3"/>
      <c r="Q20" s="3"/>
      <c r="R20" s="3"/>
    </row>
    <row r="21" spans="2:18" ht="15">
      <c r="B21" s="6" t="str">
        <f>'Low Cemetery PC'!B2</f>
        <v>Lowestoft Cemetery Public Convenience</v>
      </c>
      <c r="C21" s="10">
        <f>'Low Cemetery PC'!C16</f>
        <v>6500</v>
      </c>
      <c r="D21" s="10">
        <f>'Low Cemetery PC'!D16</f>
        <v>3417.029609690444</v>
      </c>
      <c r="E21" s="10">
        <f>'Low Cemetery PC'!E16</f>
        <v>2187</v>
      </c>
      <c r="F21" s="10">
        <f>'Low Cemetery PC'!F16</f>
        <v>1130.029609690444</v>
      </c>
      <c r="G21" s="10">
        <f>'Low Cemetery PC'!G16</f>
        <v>2692.970390309556</v>
      </c>
      <c r="H21" s="10">
        <f>'Low Cemetery PC'!H16</f>
        <v>-100</v>
      </c>
      <c r="I21" s="10">
        <f>'Low Cemetery PC'!I16</f>
        <v>412.16689098250333</v>
      </c>
      <c r="J21" s="10">
        <f>'Low Cemetery PC'!J16</f>
        <v>6480</v>
      </c>
      <c r="K21" s="10">
        <f>'Low Cemetery PC'!K16</f>
        <v>6703.4</v>
      </c>
      <c r="L21" s="10">
        <f>'Low Cemetery PC'!L16</f>
        <v>6904.5019999999995</v>
      </c>
      <c r="M21" s="10">
        <f>'Low Cemetery PC'!M16</f>
        <v>7111.637059999999</v>
      </c>
      <c r="N21" s="3"/>
      <c r="O21" s="3"/>
      <c r="P21" s="3"/>
      <c r="Q21" s="3"/>
      <c r="R21" s="3"/>
    </row>
    <row r="22" spans="2:18" ht="15">
      <c r="B22" s="6" t="str">
        <f>Miscellaneous!B2</f>
        <v>Miscellaneous &amp; Reserve Contributions</v>
      </c>
      <c r="C22" s="10">
        <f>Miscellaneous!C22</f>
        <v>18800</v>
      </c>
      <c r="D22" s="10">
        <f>Miscellaneous!D22</f>
        <v>1749.7308209959624</v>
      </c>
      <c r="E22" s="10">
        <f>Miscellaneous!E22</f>
        <v>689.7711978465679</v>
      </c>
      <c r="F22" s="10">
        <f>Miscellaneous!F22</f>
        <v>1009.9596231493944</v>
      </c>
      <c r="G22" s="10">
        <f>Miscellaneous!G22</f>
        <v>2600.2691790040376</v>
      </c>
      <c r="H22" s="10">
        <f>Miscellaneous!H22</f>
        <v>-50</v>
      </c>
      <c r="I22" s="10">
        <f>Miscellaneous!I22</f>
        <v>397.9542395693136</v>
      </c>
      <c r="J22" s="10">
        <f>Miscellaneous!J22</f>
        <v>18750</v>
      </c>
      <c r="K22" s="10">
        <f>Miscellaneous!K22</f>
        <v>18918</v>
      </c>
      <c r="L22" s="10">
        <f>Miscellaneous!L22</f>
        <v>19091.04</v>
      </c>
      <c r="M22" s="10">
        <f>Miscellaneous!M22</f>
        <v>19269.2712</v>
      </c>
      <c r="N22" s="3"/>
      <c r="O22" s="3"/>
      <c r="P22" s="3"/>
      <c r="Q22" s="3"/>
      <c r="R22" s="3"/>
    </row>
    <row r="23" spans="2:18" ht="15">
      <c r="B23" s="6" t="str">
        <f>'Town Hall'!B2</f>
        <v>Town Hall</v>
      </c>
      <c r="C23" s="10">
        <f>'Town Hall'!C29</f>
        <v>86120</v>
      </c>
      <c r="D23" s="10">
        <f>'Town Hall'!D29</f>
        <v>16430</v>
      </c>
      <c r="E23" s="10">
        <f>'Town Hall'!E29</f>
        <v>2519</v>
      </c>
      <c r="F23" s="10">
        <f>'Town Hall'!F29</f>
        <v>2324</v>
      </c>
      <c r="G23" s="10">
        <f>'Town Hall'!G29</f>
        <v>0</v>
      </c>
      <c r="H23" s="10">
        <f>'Town Hall'!H29</f>
        <v>-11587</v>
      </c>
      <c r="I23" s="10">
        <f>'Town Hall'!I29</f>
        <v>0</v>
      </c>
      <c r="J23" s="10">
        <f>'Town Hall'!J29</f>
        <v>18330</v>
      </c>
      <c r="K23" s="10">
        <f>'Town Hall'!K29</f>
        <v>64775.9</v>
      </c>
      <c r="L23" s="10">
        <f>'Town Hall'!L29</f>
        <v>66719.177</v>
      </c>
      <c r="M23" s="10">
        <f>'Town Hall'!M29</f>
        <v>68720.75231</v>
      </c>
      <c r="N23" s="3"/>
      <c r="O23" s="3"/>
      <c r="P23" s="3"/>
      <c r="Q23" s="3"/>
      <c r="R23" s="3"/>
    </row>
    <row r="24" spans="2:18" ht="15">
      <c r="B24" s="6" t="str">
        <f>Administration!B2</f>
        <v>Administration</v>
      </c>
      <c r="C24" s="10">
        <f>Administration!C52</f>
        <v>455260</v>
      </c>
      <c r="D24" s="10">
        <f>Administration!D52</f>
        <v>199960</v>
      </c>
      <c r="E24" s="10">
        <f>Administration!E52</f>
        <v>49442</v>
      </c>
      <c r="F24" s="10">
        <f>Administration!F52</f>
        <v>0</v>
      </c>
      <c r="G24" s="10">
        <f>Administration!G52</f>
        <v>0</v>
      </c>
      <c r="H24" s="10">
        <f>Administration!H52</f>
        <v>-150518</v>
      </c>
      <c r="I24" s="10">
        <f>Administration!I52</f>
        <v>2425</v>
      </c>
      <c r="J24" s="10">
        <f>Administration!J52</f>
        <v>220497.5</v>
      </c>
      <c r="K24" s="10">
        <f>Administration!K52</f>
        <v>463681.8</v>
      </c>
      <c r="L24" s="10">
        <f>Administration!L52</f>
        <v>464510.754</v>
      </c>
      <c r="M24" s="10">
        <f>Administration!M52</f>
        <v>465364.57662</v>
      </c>
      <c r="N24" s="3"/>
      <c r="O24" s="3"/>
      <c r="P24" s="3"/>
      <c r="Q24" s="3"/>
      <c r="R24" s="3"/>
    </row>
    <row r="25" spans="2:18" ht="15">
      <c r="B25" s="6"/>
      <c r="C25" s="13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3"/>
      <c r="O25" s="3"/>
      <c r="P25" s="3"/>
      <c r="Q25" s="3"/>
      <c r="R25" s="3"/>
    </row>
    <row r="26" spans="2:18" ht="15">
      <c r="B26" s="6" t="s">
        <v>121</v>
      </c>
      <c r="C26" s="10">
        <f>SUM(C4:C25)</f>
        <v>1392280</v>
      </c>
      <c r="D26" s="10">
        <f aca="true" t="shared" si="0" ref="D26:M26">SUM(D4:D25)</f>
        <v>735502.1399730821</v>
      </c>
      <c r="E26" s="10">
        <f t="shared" si="0"/>
        <v>296424.75639300136</v>
      </c>
      <c r="F26" s="10">
        <f t="shared" si="0"/>
        <v>282698.99999999994</v>
      </c>
      <c r="G26" s="10">
        <f t="shared" si="0"/>
        <v>291604.7617765814</v>
      </c>
      <c r="H26" s="10">
        <f t="shared" si="0"/>
        <v>-156378.38358008076</v>
      </c>
      <c r="I26" s="10">
        <f t="shared" si="0"/>
        <v>52823.061911170924</v>
      </c>
      <c r="J26" s="10">
        <f>SUM(J4:J25)</f>
        <v>1041161.8</v>
      </c>
      <c r="K26" s="10">
        <f t="shared" si="0"/>
        <v>1412073.1500000001</v>
      </c>
      <c r="L26" s="10">
        <f t="shared" si="0"/>
        <v>1437988.0355000002</v>
      </c>
      <c r="M26" s="10">
        <f t="shared" si="0"/>
        <v>1464695.267565</v>
      </c>
      <c r="N26" s="3"/>
      <c r="O26" s="3"/>
      <c r="P26" s="3"/>
      <c r="Q26" s="3"/>
      <c r="R26" s="3"/>
    </row>
    <row r="27" spans="2:13" ht="1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2:13" ht="15">
      <c r="B28" s="160" t="s">
        <v>141</v>
      </c>
      <c r="C28" s="10">
        <v>-1392280</v>
      </c>
      <c r="D28" s="10">
        <v>-1392280</v>
      </c>
      <c r="E28" s="10">
        <v>-1392280</v>
      </c>
      <c r="F28" s="160">
        <v>0</v>
      </c>
      <c r="G28" s="10">
        <v>0</v>
      </c>
      <c r="H28" s="10">
        <v>0</v>
      </c>
      <c r="I28" s="10">
        <v>0</v>
      </c>
      <c r="J28" s="10">
        <v>-1392280</v>
      </c>
      <c r="K28" s="10">
        <f>-K26</f>
        <v>-1412073.1500000001</v>
      </c>
      <c r="L28" s="10">
        <f>-L26</f>
        <v>-1437988.0355000002</v>
      </c>
      <c r="M28" s="10">
        <f>-M26</f>
        <v>-1464695.267565</v>
      </c>
    </row>
    <row r="29" spans="2:13" ht="1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2:13" ht="15">
      <c r="B30" s="34" t="s">
        <v>165</v>
      </c>
      <c r="C30" s="34">
        <f>C26+C28</f>
        <v>0</v>
      </c>
      <c r="D30" s="34"/>
      <c r="E30" s="34"/>
      <c r="F30" s="34"/>
      <c r="G30" s="34"/>
      <c r="H30" s="34"/>
      <c r="I30" s="34"/>
      <c r="J30" s="34">
        <f>J26+J28</f>
        <v>-351118.19999999995</v>
      </c>
      <c r="K30" s="34">
        <f>K26+K28</f>
        <v>0</v>
      </c>
      <c r="L30" s="34">
        <f>L26+L28</f>
        <v>0</v>
      </c>
      <c r="M30" s="34">
        <f>M26+M28</f>
        <v>0</v>
      </c>
    </row>
    <row r="31" spans="2:13" ht="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2:13" ht="15">
      <c r="B32" s="34" t="s">
        <v>166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13" ht="15">
      <c r="B33" s="34" t="s">
        <v>167</v>
      </c>
      <c r="C33" s="34">
        <v>-9480</v>
      </c>
      <c r="D33" s="34"/>
      <c r="E33" s="34"/>
      <c r="F33" s="34"/>
      <c r="G33" s="34"/>
      <c r="H33" s="34"/>
      <c r="I33" s="34"/>
      <c r="J33" s="34">
        <v>-9480</v>
      </c>
      <c r="K33" s="34">
        <f>J34</f>
        <v>-360598.19999999995</v>
      </c>
      <c r="L33" s="34">
        <f>K34</f>
        <v>-360598.19999999995</v>
      </c>
      <c r="M33" s="34">
        <f>L34</f>
        <v>-360598.19999999995</v>
      </c>
    </row>
    <row r="34" spans="2:13" ht="15">
      <c r="B34" s="34" t="s">
        <v>168</v>
      </c>
      <c r="C34" s="34">
        <f>C33+C30</f>
        <v>-9480</v>
      </c>
      <c r="D34" s="34"/>
      <c r="E34" s="34"/>
      <c r="F34" s="34"/>
      <c r="G34" s="34"/>
      <c r="H34" s="34"/>
      <c r="I34" s="34"/>
      <c r="J34" s="34">
        <f>J33+J30</f>
        <v>-360598.19999999995</v>
      </c>
      <c r="K34" s="34">
        <f>K33+K30</f>
        <v>-360598.19999999995</v>
      </c>
      <c r="L34" s="34">
        <f>L33+L30</f>
        <v>-360598.19999999995</v>
      </c>
      <c r="M34" s="34">
        <f>M33+M30</f>
        <v>-360598.19999999995</v>
      </c>
    </row>
    <row r="36" ht="15">
      <c r="V36" s="161"/>
    </row>
    <row r="37" spans="2:5" ht="15">
      <c r="B37" s="1" t="s">
        <v>122</v>
      </c>
      <c r="C37" s="29"/>
      <c r="D37" s="29"/>
      <c r="E37" s="29"/>
    </row>
    <row r="38" spans="2:5" ht="15">
      <c r="B38" s="24"/>
      <c r="C38" s="29"/>
      <c r="D38" s="29"/>
      <c r="E38" s="29"/>
    </row>
    <row r="39" spans="2:13" ht="15">
      <c r="B39" s="6" t="s">
        <v>123</v>
      </c>
      <c r="C39" s="27">
        <v>12173.9</v>
      </c>
      <c r="D39" s="29"/>
      <c r="E39" s="29"/>
      <c r="K39" s="27">
        <v>12413.92</v>
      </c>
      <c r="L39" s="27">
        <f>K39*1.005</f>
        <v>12475.989599999999</v>
      </c>
      <c r="M39" s="27">
        <f>L39*1.005</f>
        <v>12538.369547999997</v>
      </c>
    </row>
    <row r="40" spans="2:5" ht="15">
      <c r="B40" s="29"/>
      <c r="C40" s="29"/>
      <c r="D40" s="29"/>
      <c r="E40" s="29"/>
    </row>
    <row r="41" spans="2:13" ht="30">
      <c r="B41" s="6" t="s">
        <v>124</v>
      </c>
      <c r="C41" s="4" t="s">
        <v>125</v>
      </c>
      <c r="D41" s="4" t="s">
        <v>126</v>
      </c>
      <c r="E41" s="4" t="s">
        <v>127</v>
      </c>
      <c r="K41" s="4" t="s">
        <v>164</v>
      </c>
      <c r="L41" s="4" t="s">
        <v>169</v>
      </c>
      <c r="M41" s="4" t="s">
        <v>170</v>
      </c>
    </row>
    <row r="42" spans="2:13" ht="15">
      <c r="B42" s="7" t="s">
        <v>128</v>
      </c>
      <c r="C42" s="30">
        <f>C45*(6/9)</f>
        <v>76.24398645189024</v>
      </c>
      <c r="D42" s="30">
        <f>C42/12</f>
        <v>6.35366553765752</v>
      </c>
      <c r="E42" s="30">
        <f>C42/52</f>
        <v>1.4662305086901968</v>
      </c>
      <c r="K42" s="30">
        <f>K45*(6/9)</f>
        <v>75.83278287599727</v>
      </c>
      <c r="L42" s="30">
        <f>L45*(6/9)</f>
        <v>76.84029251942735</v>
      </c>
      <c r="M42" s="30">
        <f>M45*(6/9)</f>
        <v>77.87802935396464</v>
      </c>
    </row>
    <row r="43" spans="2:13" ht="15">
      <c r="B43" s="7" t="s">
        <v>129</v>
      </c>
      <c r="C43" s="30">
        <f>C45*(7/9)</f>
        <v>88.95131752720529</v>
      </c>
      <c r="D43" s="30">
        <f aca="true" t="shared" si="1" ref="D43:D49">C43/12</f>
        <v>7.4126097939337745</v>
      </c>
      <c r="E43" s="30">
        <f aca="true" t="shared" si="2" ref="E43:E49">C43/52</f>
        <v>1.7106022601385633</v>
      </c>
      <c r="K43" s="30">
        <f>K45*(7/9)</f>
        <v>88.47158002199681</v>
      </c>
      <c r="L43" s="30">
        <f>L45*(7/9)</f>
        <v>89.64700793933193</v>
      </c>
      <c r="M43" s="30">
        <f>M45*(7/9)</f>
        <v>90.85770091295875</v>
      </c>
    </row>
    <row r="44" spans="2:13" ht="15">
      <c r="B44" s="7" t="s">
        <v>130</v>
      </c>
      <c r="C44" s="30">
        <f>C45*(8/9)</f>
        <v>101.65864860252032</v>
      </c>
      <c r="D44" s="30">
        <f t="shared" si="1"/>
        <v>8.471554050210026</v>
      </c>
      <c r="E44" s="30">
        <f t="shared" si="2"/>
        <v>1.9549740115869292</v>
      </c>
      <c r="K44" s="30">
        <f>K45*(8/9)</f>
        <v>101.11037716799636</v>
      </c>
      <c r="L44" s="30">
        <f>L45*(8/9)</f>
        <v>102.45372335923648</v>
      </c>
      <c r="M44" s="30">
        <f>M45*(8/9)</f>
        <v>103.83737247195285</v>
      </c>
    </row>
    <row r="45" spans="2:23" ht="15">
      <c r="B45" s="6" t="s">
        <v>131</v>
      </c>
      <c r="C45" s="28">
        <f>C26/C39</f>
        <v>114.36597967783537</v>
      </c>
      <c r="D45" s="28">
        <f t="shared" si="1"/>
        <v>9.530498306486281</v>
      </c>
      <c r="E45" s="28">
        <f t="shared" si="2"/>
        <v>2.1993457630352955</v>
      </c>
      <c r="K45" s="28">
        <f>K26/K39</f>
        <v>113.74917431399591</v>
      </c>
      <c r="L45" s="28">
        <f>L26/L39</f>
        <v>115.26043877914104</v>
      </c>
      <c r="M45" s="28">
        <f>M26/M39</f>
        <v>116.81704403094696</v>
      </c>
      <c r="V45" s="162"/>
      <c r="W45" s="163"/>
    </row>
    <row r="46" spans="2:13" ht="15">
      <c r="B46" s="7" t="s">
        <v>132</v>
      </c>
      <c r="C46" s="30">
        <f>C45*(11/9)</f>
        <v>139.78064182846546</v>
      </c>
      <c r="D46" s="30">
        <f t="shared" si="1"/>
        <v>11.64838681903879</v>
      </c>
      <c r="E46" s="30">
        <f t="shared" si="2"/>
        <v>2.688089265932028</v>
      </c>
      <c r="K46" s="30">
        <f>K45*(11/9)</f>
        <v>139.02676860599502</v>
      </c>
      <c r="L46" s="30">
        <f>L45*(11/9)</f>
        <v>140.87386961895018</v>
      </c>
      <c r="M46" s="30">
        <f>M45*(11/9)</f>
        <v>142.77638714893519</v>
      </c>
    </row>
    <row r="47" spans="2:13" ht="15">
      <c r="B47" s="7" t="s">
        <v>133</v>
      </c>
      <c r="C47" s="30">
        <f>C45*(13/9)</f>
        <v>165.19530397909554</v>
      </c>
      <c r="D47" s="30">
        <f t="shared" si="1"/>
        <v>13.766275331591295</v>
      </c>
      <c r="E47" s="30">
        <f t="shared" si="2"/>
        <v>3.1768327688287603</v>
      </c>
      <c r="K47" s="30">
        <f>K45*(13/9)</f>
        <v>164.30436289799408</v>
      </c>
      <c r="L47" s="30">
        <f>L45*(13/9)</f>
        <v>166.48730045875928</v>
      </c>
      <c r="M47" s="30">
        <f>M45*(13/9)</f>
        <v>168.73573026692338</v>
      </c>
    </row>
    <row r="48" spans="2:13" ht="15">
      <c r="B48" s="7" t="s">
        <v>134</v>
      </c>
      <c r="C48" s="30">
        <f>C45*(15/9)</f>
        <v>190.60996612972562</v>
      </c>
      <c r="D48" s="30">
        <f t="shared" si="1"/>
        <v>15.884163844143801</v>
      </c>
      <c r="E48" s="30">
        <f t="shared" si="2"/>
        <v>3.6655762717254925</v>
      </c>
      <c r="K48" s="30">
        <f>K45*(15/9)</f>
        <v>189.58195718999318</v>
      </c>
      <c r="L48" s="30">
        <f>L45*(15/9)</f>
        <v>192.1007312985684</v>
      </c>
      <c r="M48" s="30">
        <f>M45*(15/9)</f>
        <v>194.6950733849116</v>
      </c>
    </row>
    <row r="49" spans="2:13" ht="15">
      <c r="B49" s="7" t="s">
        <v>135</v>
      </c>
      <c r="C49" s="30">
        <f>C45*(18/9)</f>
        <v>228.73195935567074</v>
      </c>
      <c r="D49" s="30">
        <f t="shared" si="1"/>
        <v>19.060996612972563</v>
      </c>
      <c r="E49" s="30">
        <f t="shared" si="2"/>
        <v>4.398691526070591</v>
      </c>
      <c r="K49" s="30">
        <f>K45*(18/9)</f>
        <v>227.49834862799182</v>
      </c>
      <c r="L49" s="30">
        <f>L45*(18/9)</f>
        <v>230.52087755828208</v>
      </c>
      <c r="M49" s="30">
        <f>M45*(18/9)</f>
        <v>233.63408806189392</v>
      </c>
    </row>
    <row r="51" ht="15">
      <c r="B51" s="2"/>
    </row>
    <row r="54" ht="15">
      <c r="D54" s="3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B19" sqref="B19:X2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71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6"/>
      <c r="C4" s="14"/>
      <c r="D4" s="14"/>
      <c r="E4" s="14"/>
      <c r="F4" s="4"/>
      <c r="G4" s="4"/>
      <c r="H4" s="4"/>
      <c r="I4" s="4"/>
      <c r="J4" s="4"/>
      <c r="K4" s="14"/>
      <c r="L4" s="14"/>
      <c r="M4" s="14"/>
      <c r="N4" s="2"/>
      <c r="O4" s="2"/>
      <c r="P4" s="2"/>
      <c r="Q4" s="2"/>
      <c r="R4" s="2"/>
    </row>
    <row r="5" spans="2:18" ht="15">
      <c r="B5" s="7" t="s">
        <v>81</v>
      </c>
      <c r="C5" s="13">
        <v>100</v>
      </c>
      <c r="D5" s="10"/>
      <c r="E5" s="10"/>
      <c r="F5" s="10"/>
      <c r="G5" s="10"/>
      <c r="H5" s="13">
        <f>E5+F5-D5</f>
        <v>0</v>
      </c>
      <c r="I5" s="13"/>
      <c r="J5" s="13">
        <v>100</v>
      </c>
      <c r="K5" s="13">
        <f>J5*1.03</f>
        <v>103</v>
      </c>
      <c r="L5" s="13">
        <f>K5*1.03</f>
        <v>106.09</v>
      </c>
      <c r="M5" s="13">
        <f>L5*1.03</f>
        <v>109.2727</v>
      </c>
      <c r="N5" s="3"/>
      <c r="O5" s="3"/>
      <c r="P5" s="3"/>
      <c r="Q5" s="3"/>
      <c r="R5" s="3"/>
    </row>
    <row r="6" spans="2:18" ht="15">
      <c r="B6" s="6" t="s">
        <v>80</v>
      </c>
      <c r="C6" s="10">
        <f aca="true" t="shared" si="0" ref="C6:M6">SUM(C5:C5)</f>
        <v>100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100</v>
      </c>
      <c r="K6" s="10">
        <f t="shared" si="0"/>
        <v>103</v>
      </c>
      <c r="L6" s="10">
        <f t="shared" si="0"/>
        <v>106.09</v>
      </c>
      <c r="M6" s="10">
        <f t="shared" si="0"/>
        <v>109.2727</v>
      </c>
      <c r="N6" s="3"/>
      <c r="O6" s="3"/>
      <c r="P6" s="3"/>
      <c r="Q6" s="3"/>
      <c r="R6" s="3"/>
    </row>
    <row r="7" spans="2:18" ht="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18" ht="15">
      <c r="B8" s="7" t="s">
        <v>92</v>
      </c>
      <c r="C8" s="16">
        <v>16000</v>
      </c>
      <c r="D8" s="13">
        <f>E8+F8</f>
        <v>8570.598923283984</v>
      </c>
      <c r="E8" s="13">
        <v>5685</v>
      </c>
      <c r="F8" s="13">
        <v>2885.598923283984</v>
      </c>
      <c r="G8" s="13">
        <f>J8-F8-E8</f>
        <v>7429.401076716016</v>
      </c>
      <c r="H8" s="13">
        <f>E8+F8-D8</f>
        <v>0</v>
      </c>
      <c r="I8" s="13">
        <v>1137.0121130551818</v>
      </c>
      <c r="J8" s="16">
        <v>16000</v>
      </c>
      <c r="K8" s="13">
        <f>J8*1.035</f>
        <v>16560</v>
      </c>
      <c r="L8" s="13">
        <f>K8*1.03</f>
        <v>17056.8</v>
      </c>
      <c r="M8" s="13">
        <f>L8*1.03</f>
        <v>17568.504</v>
      </c>
      <c r="N8" s="3"/>
      <c r="O8" s="3"/>
      <c r="P8" s="3"/>
      <c r="Q8" s="3"/>
      <c r="R8" s="3"/>
    </row>
    <row r="9" spans="2:18" ht="15">
      <c r="B9" s="6" t="s">
        <v>140</v>
      </c>
      <c r="C9" s="10">
        <f aca="true" t="shared" si="1" ref="C9:M9">SUM(C8:C8)</f>
        <v>16000</v>
      </c>
      <c r="D9" s="10">
        <f t="shared" si="1"/>
        <v>8570.598923283984</v>
      </c>
      <c r="E9" s="10">
        <f t="shared" si="1"/>
        <v>5685</v>
      </c>
      <c r="F9" s="10">
        <f t="shared" si="1"/>
        <v>2885.598923283984</v>
      </c>
      <c r="G9" s="10">
        <f>SUM(G8:G8)</f>
        <v>7429.401076716016</v>
      </c>
      <c r="H9" s="10">
        <f>SUM(H8:H8)</f>
        <v>0</v>
      </c>
      <c r="I9" s="10">
        <f>SUM(I8:I8)</f>
        <v>1137.0121130551818</v>
      </c>
      <c r="J9" s="10">
        <f>SUM(J8:J8)</f>
        <v>16000</v>
      </c>
      <c r="K9" s="10">
        <f t="shared" si="1"/>
        <v>16560</v>
      </c>
      <c r="L9" s="10">
        <f t="shared" si="1"/>
        <v>17056.8</v>
      </c>
      <c r="M9" s="10">
        <f t="shared" si="1"/>
        <v>17568.504</v>
      </c>
      <c r="N9" s="3"/>
      <c r="O9" s="3"/>
      <c r="P9" s="3"/>
      <c r="Q9" s="3"/>
      <c r="R9" s="3"/>
    </row>
    <row r="10" spans="2:18" ht="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18" ht="15">
      <c r="B11" s="6" t="s">
        <v>70</v>
      </c>
      <c r="C11" s="10">
        <f aca="true" t="shared" si="2" ref="C11:M11">C6+C9</f>
        <v>16100</v>
      </c>
      <c r="D11" s="10">
        <f t="shared" si="2"/>
        <v>8570.598923283984</v>
      </c>
      <c r="E11" s="10">
        <f t="shared" si="2"/>
        <v>5685</v>
      </c>
      <c r="F11" s="10">
        <f t="shared" si="2"/>
        <v>2885.598923283984</v>
      </c>
      <c r="G11" s="10">
        <f>G6+G9</f>
        <v>7429.401076716016</v>
      </c>
      <c r="H11" s="10">
        <f>H6+H9</f>
        <v>0</v>
      </c>
      <c r="I11" s="10">
        <f>I6+I9</f>
        <v>1137.0121130551818</v>
      </c>
      <c r="J11" s="10">
        <f>J6+J9</f>
        <v>16100</v>
      </c>
      <c r="K11" s="10">
        <f t="shared" si="2"/>
        <v>16663</v>
      </c>
      <c r="L11" s="10">
        <f t="shared" si="2"/>
        <v>17162.89</v>
      </c>
      <c r="M11" s="10">
        <f t="shared" si="2"/>
        <v>17677.776700000002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7" t="s">
        <v>96</v>
      </c>
      <c r="C13" s="13">
        <v>-800</v>
      </c>
      <c r="D13" s="10"/>
      <c r="E13" s="10"/>
      <c r="F13" s="10"/>
      <c r="G13" s="10"/>
      <c r="H13" s="13">
        <f>E13+F13-D13</f>
        <v>0</v>
      </c>
      <c r="I13" s="13"/>
      <c r="J13" s="13">
        <v>-800</v>
      </c>
      <c r="K13" s="13">
        <v>-800</v>
      </c>
      <c r="L13" s="13">
        <v>-800</v>
      </c>
      <c r="M13" s="13">
        <v>-800</v>
      </c>
      <c r="N13" s="3"/>
      <c r="O13" s="3"/>
      <c r="P13" s="3"/>
      <c r="Q13" s="3"/>
      <c r="R13" s="3"/>
    </row>
    <row r="14" spans="2:18" ht="15">
      <c r="B14" s="7" t="s">
        <v>152</v>
      </c>
      <c r="C14" s="13">
        <v>-700</v>
      </c>
      <c r="D14" s="13">
        <v>-350</v>
      </c>
      <c r="E14" s="13">
        <v>-1241</v>
      </c>
      <c r="F14" s="10"/>
      <c r="G14" s="10"/>
      <c r="H14" s="13">
        <f>E14+F14-D14</f>
        <v>-891</v>
      </c>
      <c r="I14" s="13"/>
      <c r="J14" s="13">
        <v>-3470</v>
      </c>
      <c r="K14" s="13">
        <v>-3470</v>
      </c>
      <c r="L14" s="13">
        <v>-3470</v>
      </c>
      <c r="M14" s="13">
        <v>-3470</v>
      </c>
      <c r="N14" s="3"/>
      <c r="O14" s="3"/>
      <c r="P14" s="3"/>
      <c r="Q14" s="3"/>
      <c r="R14" s="3"/>
    </row>
    <row r="15" spans="2:18" ht="15">
      <c r="B15" s="6" t="s">
        <v>0</v>
      </c>
      <c r="C15" s="10">
        <f>SUM(C13:C14)</f>
        <v>-1500</v>
      </c>
      <c r="D15" s="10">
        <f aca="true" t="shared" si="3" ref="D15:M15">SUM(D13:D14)</f>
        <v>-350</v>
      </c>
      <c r="E15" s="10">
        <f t="shared" si="3"/>
        <v>-1241</v>
      </c>
      <c r="F15" s="10">
        <f t="shared" si="3"/>
        <v>0</v>
      </c>
      <c r="G15" s="10">
        <f>SUM(G13:G14)</f>
        <v>0</v>
      </c>
      <c r="H15" s="10">
        <f>SUM(H13:H14)</f>
        <v>-891</v>
      </c>
      <c r="I15" s="10">
        <f>SUM(I13:I14)</f>
        <v>0</v>
      </c>
      <c r="J15" s="10">
        <f>SUM(J13:J14)</f>
        <v>-4270</v>
      </c>
      <c r="K15" s="10">
        <f t="shared" si="3"/>
        <v>-4270</v>
      </c>
      <c r="L15" s="10">
        <f t="shared" si="3"/>
        <v>-4270</v>
      </c>
      <c r="M15" s="10">
        <f t="shared" si="3"/>
        <v>-4270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6" t="s">
        <v>73</v>
      </c>
      <c r="C17" s="10">
        <f aca="true" t="shared" si="4" ref="C17:M17">C11+C15</f>
        <v>14600</v>
      </c>
      <c r="D17" s="10">
        <f t="shared" si="4"/>
        <v>8220.598923283984</v>
      </c>
      <c r="E17" s="10">
        <f t="shared" si="4"/>
        <v>4444</v>
      </c>
      <c r="F17" s="10">
        <f t="shared" si="4"/>
        <v>2885.598923283984</v>
      </c>
      <c r="G17" s="10">
        <f>G11+G15</f>
        <v>7429.401076716016</v>
      </c>
      <c r="H17" s="10">
        <f>H11+H15</f>
        <v>-891</v>
      </c>
      <c r="I17" s="10">
        <f>I11+I15</f>
        <v>1137.0121130551818</v>
      </c>
      <c r="J17" s="10">
        <f>J11+J15</f>
        <v>11830</v>
      </c>
      <c r="K17" s="10">
        <f t="shared" si="4"/>
        <v>12393</v>
      </c>
      <c r="L17" s="10">
        <f t="shared" si="4"/>
        <v>12892.89</v>
      </c>
      <c r="M17" s="10">
        <f t="shared" si="4"/>
        <v>13407.776700000002</v>
      </c>
      <c r="N17" s="3"/>
      <c r="O17" s="3"/>
      <c r="P17" s="3"/>
      <c r="Q17" s="3"/>
      <c r="R17" s="3"/>
    </row>
    <row r="19" ht="15">
      <c r="B19" s="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PageLayoutView="0" workbookViewId="0" topLeftCell="A1">
      <selection activeCell="B22" sqref="B22:L2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97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400</v>
      </c>
      <c r="D5" s="13">
        <v>92</v>
      </c>
      <c r="E5" s="13">
        <v>65</v>
      </c>
      <c r="F5" s="13">
        <v>27</v>
      </c>
      <c r="G5" s="13"/>
      <c r="H5" s="13">
        <f>E5+F5-D5</f>
        <v>0</v>
      </c>
      <c r="I5" s="13"/>
      <c r="J5" s="13">
        <v>400</v>
      </c>
      <c r="K5" s="13">
        <f aca="true" t="shared" si="0" ref="K5:M7">J5*1.03</f>
        <v>412</v>
      </c>
      <c r="L5" s="13">
        <f t="shared" si="0"/>
        <v>424.36</v>
      </c>
      <c r="M5" s="13">
        <f t="shared" si="0"/>
        <v>437.0908</v>
      </c>
      <c r="N5" s="3"/>
      <c r="O5" s="3"/>
      <c r="P5" s="3"/>
      <c r="Q5" s="3"/>
      <c r="R5" s="3"/>
    </row>
    <row r="6" spans="2:18" ht="15">
      <c r="B6" s="7" t="s">
        <v>81</v>
      </c>
      <c r="C6" s="13">
        <v>5500</v>
      </c>
      <c r="D6" s="9">
        <v>1460</v>
      </c>
      <c r="E6" s="13">
        <v>266</v>
      </c>
      <c r="F6" s="13">
        <v>1194</v>
      </c>
      <c r="G6" s="10"/>
      <c r="H6" s="13">
        <f>E6+F6-D6</f>
        <v>0</v>
      </c>
      <c r="I6" s="13"/>
      <c r="J6" s="13">
        <v>5500</v>
      </c>
      <c r="K6" s="13">
        <f t="shared" si="0"/>
        <v>5665</v>
      </c>
      <c r="L6" s="13">
        <f t="shared" si="0"/>
        <v>5834.95</v>
      </c>
      <c r="M6" s="13">
        <f t="shared" si="0"/>
        <v>6009.9985</v>
      </c>
      <c r="N6" s="3"/>
      <c r="O6" s="3"/>
      <c r="P6" s="3"/>
      <c r="Q6" s="3"/>
      <c r="R6" s="3"/>
    </row>
    <row r="7" spans="2:18" ht="15">
      <c r="B7" s="7" t="s">
        <v>148</v>
      </c>
      <c r="C7" s="13">
        <v>0</v>
      </c>
      <c r="D7" s="13">
        <v>0</v>
      </c>
      <c r="E7" s="13">
        <v>105</v>
      </c>
      <c r="F7" s="13"/>
      <c r="G7" s="13"/>
      <c r="H7" s="13">
        <f>E7+F7-D7</f>
        <v>105</v>
      </c>
      <c r="I7" s="13"/>
      <c r="J7" s="13">
        <v>105</v>
      </c>
      <c r="K7" s="13">
        <f t="shared" si="0"/>
        <v>108.15</v>
      </c>
      <c r="L7" s="13">
        <f t="shared" si="0"/>
        <v>111.39450000000001</v>
      </c>
      <c r="M7" s="13">
        <f t="shared" si="0"/>
        <v>114.73633500000001</v>
      </c>
      <c r="N7" s="3"/>
      <c r="O7" s="3"/>
      <c r="P7" s="3"/>
      <c r="Q7" s="3"/>
      <c r="R7" s="3"/>
    </row>
    <row r="8" spans="2:18" ht="15">
      <c r="B8" s="7" t="s">
        <v>69</v>
      </c>
      <c r="C8" s="13">
        <v>100</v>
      </c>
      <c r="D8" s="13">
        <v>100</v>
      </c>
      <c r="E8" s="10"/>
      <c r="F8" s="10"/>
      <c r="G8" s="10"/>
      <c r="H8" s="13">
        <f>E8+F8-D8</f>
        <v>-100</v>
      </c>
      <c r="I8" s="13"/>
      <c r="J8" s="13">
        <v>0</v>
      </c>
      <c r="K8" s="13">
        <v>0</v>
      </c>
      <c r="L8" s="13">
        <v>0</v>
      </c>
      <c r="M8" s="13">
        <v>0</v>
      </c>
      <c r="N8" s="3"/>
      <c r="O8" s="3"/>
      <c r="P8" s="3"/>
      <c r="Q8" s="3"/>
      <c r="R8" s="3"/>
    </row>
    <row r="9" spans="2:18" ht="15">
      <c r="B9" s="6" t="s">
        <v>80</v>
      </c>
      <c r="C9" s="10">
        <f>SUM(C5:C8)</f>
        <v>6000</v>
      </c>
      <c r="D9" s="10">
        <f aca="true" t="shared" si="1" ref="D9:M9">SUM(D5:D8)</f>
        <v>1652</v>
      </c>
      <c r="E9" s="10">
        <f t="shared" si="1"/>
        <v>436</v>
      </c>
      <c r="F9" s="10">
        <f t="shared" si="1"/>
        <v>1221</v>
      </c>
      <c r="G9" s="10">
        <f t="shared" si="1"/>
        <v>0</v>
      </c>
      <c r="H9" s="10">
        <f t="shared" si="1"/>
        <v>5</v>
      </c>
      <c r="I9" s="10">
        <f t="shared" si="1"/>
        <v>0</v>
      </c>
      <c r="J9" s="10">
        <f>SUM(J5:J8)</f>
        <v>6005</v>
      </c>
      <c r="K9" s="10">
        <f t="shared" si="1"/>
        <v>6185.15</v>
      </c>
      <c r="L9" s="10">
        <f t="shared" si="1"/>
        <v>6370.7045</v>
      </c>
      <c r="M9" s="10">
        <f t="shared" si="1"/>
        <v>6561.825634999999</v>
      </c>
      <c r="N9" s="3"/>
      <c r="O9" s="3"/>
      <c r="P9" s="3"/>
      <c r="Q9" s="3"/>
      <c r="R9" s="3"/>
    </row>
    <row r="10" spans="2:18" ht="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18" ht="15">
      <c r="B11" s="7" t="s">
        <v>92</v>
      </c>
      <c r="C11" s="16">
        <v>88900</v>
      </c>
      <c r="D11" s="13">
        <f>E11+F11</f>
        <v>47621.10901749664</v>
      </c>
      <c r="E11" s="13">
        <v>31588</v>
      </c>
      <c r="F11" s="13">
        <v>16033.109017496636</v>
      </c>
      <c r="G11" s="13">
        <f>J11-F11-E11</f>
        <v>41278.89098250336</v>
      </c>
      <c r="H11" s="13">
        <f>E11+F11-D11</f>
        <v>0</v>
      </c>
      <c r="I11" s="13">
        <v>6317.523553162853</v>
      </c>
      <c r="J11" s="16">
        <v>88900</v>
      </c>
      <c r="K11" s="13">
        <f>J11*1.035</f>
        <v>92011.5</v>
      </c>
      <c r="L11" s="13">
        <f>K11*1.03</f>
        <v>94771.845</v>
      </c>
      <c r="M11" s="13">
        <f>L11*1.03</f>
        <v>97615.00035</v>
      </c>
      <c r="N11" s="3"/>
      <c r="O11" s="3"/>
      <c r="P11" s="3"/>
      <c r="Q11" s="3"/>
      <c r="R11" s="3"/>
    </row>
    <row r="12" spans="2:18" ht="15">
      <c r="B12" s="6" t="s">
        <v>140</v>
      </c>
      <c r="C12" s="10">
        <f aca="true" t="shared" si="2" ref="C12:M12">SUM(C11:C11)</f>
        <v>88900</v>
      </c>
      <c r="D12" s="10">
        <f t="shared" si="2"/>
        <v>47621.10901749664</v>
      </c>
      <c r="E12" s="10">
        <f t="shared" si="2"/>
        <v>31588</v>
      </c>
      <c r="F12" s="10">
        <f t="shared" si="2"/>
        <v>16033.109017496636</v>
      </c>
      <c r="G12" s="10">
        <f>SUM(G11:G11)</f>
        <v>41278.89098250336</v>
      </c>
      <c r="H12" s="10">
        <f>SUM(H11:H11)</f>
        <v>0</v>
      </c>
      <c r="I12" s="10">
        <f>SUM(I11:I11)</f>
        <v>6317.523553162853</v>
      </c>
      <c r="J12" s="10">
        <f>SUM(J11:J11)</f>
        <v>88900</v>
      </c>
      <c r="K12" s="10">
        <f t="shared" si="2"/>
        <v>92011.5</v>
      </c>
      <c r="L12" s="10">
        <f t="shared" si="2"/>
        <v>94771.845</v>
      </c>
      <c r="M12" s="10">
        <f t="shared" si="2"/>
        <v>97615.00035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6" t="s">
        <v>70</v>
      </c>
      <c r="C14" s="10">
        <f aca="true" t="shared" si="3" ref="C14:M14">C9+C12</f>
        <v>94900</v>
      </c>
      <c r="D14" s="10">
        <f t="shared" si="3"/>
        <v>49273.10901749664</v>
      </c>
      <c r="E14" s="10">
        <f t="shared" si="3"/>
        <v>32024</v>
      </c>
      <c r="F14" s="10">
        <f t="shared" si="3"/>
        <v>17254.109017496638</v>
      </c>
      <c r="G14" s="10">
        <f>G9+G12</f>
        <v>41278.89098250336</v>
      </c>
      <c r="H14" s="10">
        <f>H9+H12</f>
        <v>5</v>
      </c>
      <c r="I14" s="10">
        <f>I9+I12</f>
        <v>6317.523553162853</v>
      </c>
      <c r="J14" s="10">
        <f>J9+J12</f>
        <v>94905</v>
      </c>
      <c r="K14" s="10">
        <f t="shared" si="3"/>
        <v>98196.65</v>
      </c>
      <c r="L14" s="10">
        <f t="shared" si="3"/>
        <v>101142.5495</v>
      </c>
      <c r="M14" s="10">
        <f t="shared" si="3"/>
        <v>104176.825985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7" t="s">
        <v>154</v>
      </c>
      <c r="C16" s="13">
        <v>-3100</v>
      </c>
      <c r="D16" s="13">
        <v>-1595</v>
      </c>
      <c r="E16" s="13">
        <v>-1595</v>
      </c>
      <c r="F16" s="10"/>
      <c r="G16" s="10"/>
      <c r="H16" s="13">
        <f>E16+F16-D16</f>
        <v>0</v>
      </c>
      <c r="I16" s="13"/>
      <c r="J16" s="13">
        <v>-3145</v>
      </c>
      <c r="K16" s="13">
        <v>-3145</v>
      </c>
      <c r="L16" s="13">
        <v>-3145</v>
      </c>
      <c r="M16" s="13">
        <v>-3145</v>
      </c>
      <c r="N16" s="3"/>
      <c r="O16" s="3"/>
      <c r="P16" s="3"/>
      <c r="Q16" s="3"/>
      <c r="R16" s="3"/>
    </row>
    <row r="17" spans="2:18" ht="15">
      <c r="B17" s="7" t="s">
        <v>153</v>
      </c>
      <c r="C17" s="13">
        <v>-8500</v>
      </c>
      <c r="D17" s="13">
        <v>-4250</v>
      </c>
      <c r="E17" s="13">
        <v>-4192</v>
      </c>
      <c r="F17" s="13">
        <f>-2210-1272</f>
        <v>-3482</v>
      </c>
      <c r="G17" s="13"/>
      <c r="H17" s="13">
        <f>E17+F17-D17</f>
        <v>-3424</v>
      </c>
      <c r="I17" s="13"/>
      <c r="J17" s="13">
        <v>-8500</v>
      </c>
      <c r="K17" s="13">
        <v>-8500</v>
      </c>
      <c r="L17" s="13">
        <v>-8500</v>
      </c>
      <c r="M17" s="13">
        <v>-8500</v>
      </c>
      <c r="N17" s="3"/>
      <c r="O17" s="3"/>
      <c r="P17" s="3"/>
      <c r="Q17" s="3"/>
      <c r="R17" s="3"/>
    </row>
    <row r="18" spans="2:18" ht="15">
      <c r="B18" s="6" t="s">
        <v>0</v>
      </c>
      <c r="C18" s="10">
        <f aca="true" t="shared" si="4" ref="C18:M18">SUM(C16:C17)</f>
        <v>-11600</v>
      </c>
      <c r="D18" s="10">
        <f t="shared" si="4"/>
        <v>-5845</v>
      </c>
      <c r="E18" s="10">
        <f t="shared" si="4"/>
        <v>-5787</v>
      </c>
      <c r="F18" s="10">
        <f t="shared" si="4"/>
        <v>-3482</v>
      </c>
      <c r="G18" s="10">
        <f t="shared" si="4"/>
        <v>0</v>
      </c>
      <c r="H18" s="10">
        <f t="shared" si="4"/>
        <v>-3424</v>
      </c>
      <c r="I18" s="10">
        <f t="shared" si="4"/>
        <v>0</v>
      </c>
      <c r="J18" s="10">
        <f t="shared" si="4"/>
        <v>-11645</v>
      </c>
      <c r="K18" s="10">
        <f t="shared" si="4"/>
        <v>-11645</v>
      </c>
      <c r="L18" s="10">
        <f t="shared" si="4"/>
        <v>-11645</v>
      </c>
      <c r="M18" s="10">
        <f t="shared" si="4"/>
        <v>-11645</v>
      </c>
      <c r="N18" s="3"/>
      <c r="O18" s="3"/>
      <c r="P18" s="3"/>
      <c r="Q18" s="3"/>
      <c r="R18" s="3"/>
    </row>
    <row r="19" spans="2:18" ht="15"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"/>
      <c r="O19" s="3"/>
      <c r="P19" s="3"/>
      <c r="Q19" s="3"/>
      <c r="R19" s="3"/>
    </row>
    <row r="20" spans="2:18" ht="15">
      <c r="B20" s="6" t="s">
        <v>73</v>
      </c>
      <c r="C20" s="10">
        <f aca="true" t="shared" si="5" ref="C20:M20">C14+C18</f>
        <v>83300</v>
      </c>
      <c r="D20" s="10">
        <f t="shared" si="5"/>
        <v>43428.10901749664</v>
      </c>
      <c r="E20" s="10">
        <f t="shared" si="5"/>
        <v>26237</v>
      </c>
      <c r="F20" s="10">
        <f t="shared" si="5"/>
        <v>13772.109017496638</v>
      </c>
      <c r="G20" s="10">
        <f t="shared" si="5"/>
        <v>41278.89098250336</v>
      </c>
      <c r="H20" s="10">
        <f t="shared" si="5"/>
        <v>-3419</v>
      </c>
      <c r="I20" s="10">
        <f t="shared" si="5"/>
        <v>6317.523553162853</v>
      </c>
      <c r="J20" s="10">
        <f t="shared" si="5"/>
        <v>83260</v>
      </c>
      <c r="K20" s="10">
        <f t="shared" si="5"/>
        <v>86551.65</v>
      </c>
      <c r="L20" s="10">
        <f t="shared" si="5"/>
        <v>89497.5495</v>
      </c>
      <c r="M20" s="10">
        <f t="shared" si="5"/>
        <v>92531.825985</v>
      </c>
      <c r="N20" s="3"/>
      <c r="O20" s="3"/>
      <c r="P20" s="3"/>
      <c r="Q20" s="3"/>
      <c r="R20" s="3"/>
    </row>
    <row r="22" ht="15">
      <c r="B22" s="21"/>
    </row>
    <row r="23" ht="15">
      <c r="B23" s="20"/>
    </row>
    <row r="25" ht="15">
      <c r="B25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PageLayoutView="0" workbookViewId="0" topLeftCell="A1">
      <selection activeCell="B35" sqref="B3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9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98</v>
      </c>
      <c r="C5" s="13">
        <v>4200</v>
      </c>
      <c r="D5" s="10"/>
      <c r="E5" s="10"/>
      <c r="F5" s="10"/>
      <c r="G5" s="10"/>
      <c r="H5" s="13">
        <f>E5+F5-D5</f>
        <v>0</v>
      </c>
      <c r="I5" s="13"/>
      <c r="J5" s="13">
        <v>4200</v>
      </c>
      <c r="K5" s="13">
        <f>J5*1.03</f>
        <v>4326</v>
      </c>
      <c r="L5" s="13">
        <f>K5*1.03</f>
        <v>4455.78</v>
      </c>
      <c r="M5" s="13">
        <f>L5*1.03</f>
        <v>4589.453399999999</v>
      </c>
      <c r="N5" s="3"/>
      <c r="O5" s="3"/>
      <c r="P5" s="3"/>
      <c r="Q5" s="3"/>
      <c r="R5" s="3"/>
    </row>
    <row r="6" spans="2:18" ht="15">
      <c r="B6" s="7" t="s">
        <v>99</v>
      </c>
      <c r="C6" s="13">
        <v>400</v>
      </c>
      <c r="D6" s="13">
        <v>400</v>
      </c>
      <c r="E6" s="10"/>
      <c r="F6" s="10"/>
      <c r="G6" s="10"/>
      <c r="H6" s="13">
        <f>E6+F6-D6</f>
        <v>-400</v>
      </c>
      <c r="I6" s="13"/>
      <c r="J6" s="13">
        <v>0</v>
      </c>
      <c r="K6" s="13">
        <v>0</v>
      </c>
      <c r="L6" s="13">
        <v>0</v>
      </c>
      <c r="M6" s="13">
        <v>0</v>
      </c>
      <c r="N6" s="3"/>
      <c r="O6" s="3"/>
      <c r="P6" s="3"/>
      <c r="Q6" s="3"/>
      <c r="R6" s="3"/>
    </row>
    <row r="7" spans="2:18" ht="15">
      <c r="B7" s="7" t="s">
        <v>174</v>
      </c>
      <c r="C7" s="13">
        <v>1400</v>
      </c>
      <c r="D7" s="10"/>
      <c r="E7" s="10"/>
      <c r="F7" s="10"/>
      <c r="G7" s="10"/>
      <c r="H7" s="13">
        <f>E7+F7-D7</f>
        <v>0</v>
      </c>
      <c r="I7" s="13"/>
      <c r="J7" s="13">
        <v>0</v>
      </c>
      <c r="K7" s="13">
        <v>50000</v>
      </c>
      <c r="L7" s="13">
        <v>50000</v>
      </c>
      <c r="M7" s="13">
        <v>50000</v>
      </c>
      <c r="N7" s="3"/>
      <c r="O7" s="3"/>
      <c r="P7" s="3"/>
      <c r="Q7" s="3"/>
      <c r="R7" s="3"/>
    </row>
    <row r="8" spans="2:18" ht="15">
      <c r="B8" s="6" t="s">
        <v>80</v>
      </c>
      <c r="C8" s="10">
        <f>SUM(C5:C7)</f>
        <v>6000</v>
      </c>
      <c r="D8" s="10">
        <f aca="true" t="shared" si="0" ref="D8:M8">SUM(D5:D7)</f>
        <v>400</v>
      </c>
      <c r="E8" s="10">
        <f t="shared" si="0"/>
        <v>0</v>
      </c>
      <c r="F8" s="10">
        <f t="shared" si="0"/>
        <v>0</v>
      </c>
      <c r="G8" s="10"/>
      <c r="H8" s="10">
        <f t="shared" si="0"/>
        <v>-400</v>
      </c>
      <c r="I8" s="10"/>
      <c r="J8" s="10">
        <f>SUM(J5:J7)</f>
        <v>4200</v>
      </c>
      <c r="K8" s="10">
        <f t="shared" si="0"/>
        <v>54326</v>
      </c>
      <c r="L8" s="10">
        <f t="shared" si="0"/>
        <v>54455.78</v>
      </c>
      <c r="M8" s="10">
        <f t="shared" si="0"/>
        <v>54589.4534</v>
      </c>
      <c r="N8" s="3"/>
      <c r="O8" s="3"/>
      <c r="P8" s="3"/>
      <c r="Q8" s="3"/>
      <c r="R8" s="3"/>
    </row>
    <row r="9" spans="2:18" ht="1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18" ht="15">
      <c r="B10" s="7" t="s">
        <v>100</v>
      </c>
      <c r="C10" s="13">
        <v>1800</v>
      </c>
      <c r="D10" s="13">
        <f>E10+F10</f>
        <v>964.1991924629879</v>
      </c>
      <c r="E10" s="13">
        <v>639.5693135935397</v>
      </c>
      <c r="F10" s="13">
        <v>324.6298788694482</v>
      </c>
      <c r="G10" s="13">
        <f aca="true" t="shared" si="1" ref="G10:G26">J10-F10-E10</f>
        <v>835.800807537012</v>
      </c>
      <c r="H10" s="13">
        <f aca="true" t="shared" si="2" ref="H10:H26">E10+F10-D10</f>
        <v>0</v>
      </c>
      <c r="I10" s="13">
        <v>127.91386271870793</v>
      </c>
      <c r="J10" s="13">
        <v>1800</v>
      </c>
      <c r="K10" s="13">
        <f>J10*1.035</f>
        <v>1862.9999999999998</v>
      </c>
      <c r="L10" s="13">
        <f>K10*1.03</f>
        <v>1918.8899999999999</v>
      </c>
      <c r="M10" s="13">
        <f>L10*1.03</f>
        <v>1976.4567</v>
      </c>
      <c r="N10" s="3"/>
      <c r="O10" s="3"/>
      <c r="P10" s="3"/>
      <c r="Q10" s="3"/>
      <c r="R10" s="3"/>
    </row>
    <row r="11" spans="2:18" ht="15">
      <c r="B11" s="7" t="s">
        <v>35</v>
      </c>
      <c r="C11" s="12">
        <v>6300</v>
      </c>
      <c r="D11" s="13">
        <f aca="true" t="shared" si="3" ref="D11:D26">E11+F11</f>
        <v>3374.6971736204573</v>
      </c>
      <c r="E11" s="13">
        <v>2238.4925975773886</v>
      </c>
      <c r="F11" s="13">
        <v>1136.2045760430688</v>
      </c>
      <c r="G11" s="13">
        <f t="shared" si="1"/>
        <v>2925.302826379543</v>
      </c>
      <c r="H11" s="13">
        <f t="shared" si="2"/>
        <v>0</v>
      </c>
      <c r="I11" s="13">
        <v>447.6985195154777</v>
      </c>
      <c r="J11" s="12">
        <v>6300</v>
      </c>
      <c r="K11" s="13">
        <f aca="true" t="shared" si="4" ref="K11:K26">J11*1.035</f>
        <v>6520.499999999999</v>
      </c>
      <c r="L11" s="13">
        <f>K11*1.03</f>
        <v>6716.114999999999</v>
      </c>
      <c r="M11" s="13">
        <f>L11*1.03</f>
        <v>6917.598449999999</v>
      </c>
      <c r="N11" s="3"/>
      <c r="O11" s="3"/>
      <c r="P11" s="3"/>
      <c r="Q11" s="3"/>
      <c r="R11" s="3"/>
    </row>
    <row r="12" spans="2:18" ht="15">
      <c r="B12" s="7" t="s">
        <v>36</v>
      </c>
      <c r="C12" s="12">
        <v>7900</v>
      </c>
      <c r="D12" s="13">
        <f t="shared" si="3"/>
        <v>4231.763122476446</v>
      </c>
      <c r="E12" s="13">
        <v>2806.99865410498</v>
      </c>
      <c r="F12" s="13">
        <v>1424.764468371467</v>
      </c>
      <c r="G12" s="13">
        <f t="shared" si="1"/>
        <v>3668.236877523553</v>
      </c>
      <c r="H12" s="13">
        <f t="shared" si="2"/>
        <v>0</v>
      </c>
      <c r="I12" s="13">
        <v>561.399730820996</v>
      </c>
      <c r="J12" s="12">
        <v>7900</v>
      </c>
      <c r="K12" s="13">
        <f t="shared" si="4"/>
        <v>8176.499999999999</v>
      </c>
      <c r="L12" s="13">
        <f>K12*1.03</f>
        <v>8421.795</v>
      </c>
      <c r="M12" s="13">
        <f>L12*1.03</f>
        <v>8674.44885</v>
      </c>
      <c r="N12" s="3"/>
      <c r="O12" s="3"/>
      <c r="P12" s="3"/>
      <c r="Q12" s="3"/>
      <c r="R12" s="3"/>
    </row>
    <row r="13" spans="2:18" ht="15">
      <c r="B13" s="11" t="s">
        <v>75</v>
      </c>
      <c r="C13" s="12">
        <v>200</v>
      </c>
      <c r="D13" s="13">
        <f t="shared" si="3"/>
        <v>107.13324360699865</v>
      </c>
      <c r="E13" s="13">
        <v>71.06325706594885</v>
      </c>
      <c r="F13" s="13">
        <v>36.0699865410498</v>
      </c>
      <c r="G13" s="13">
        <f t="shared" si="1"/>
        <v>92.86675639300137</v>
      </c>
      <c r="H13" s="13">
        <f t="shared" si="2"/>
        <v>0</v>
      </c>
      <c r="I13" s="13">
        <v>14.21265141318977</v>
      </c>
      <c r="J13" s="12">
        <v>200</v>
      </c>
      <c r="K13" s="13">
        <f t="shared" si="4"/>
        <v>206.99999999999997</v>
      </c>
      <c r="L13" s="13">
        <f>K13*1.03</f>
        <v>213.20999999999998</v>
      </c>
      <c r="M13" s="13">
        <f>L13*1.03</f>
        <v>219.60629999999998</v>
      </c>
      <c r="N13" s="3"/>
      <c r="O13" s="3"/>
      <c r="P13" s="3"/>
      <c r="Q13" s="3"/>
      <c r="R13" s="3"/>
    </row>
    <row r="14" spans="2:18" ht="15">
      <c r="B14" s="7" t="s">
        <v>47</v>
      </c>
      <c r="C14" s="12">
        <v>2200</v>
      </c>
      <c r="D14" s="13">
        <f t="shared" si="3"/>
        <v>1178.465679676985</v>
      </c>
      <c r="E14" s="13">
        <v>781.6958277254373</v>
      </c>
      <c r="F14" s="13">
        <v>396.76985195154776</v>
      </c>
      <c r="G14" s="13">
        <f t="shared" si="1"/>
        <v>1021.534320323015</v>
      </c>
      <c r="H14" s="13">
        <f t="shared" si="2"/>
        <v>0</v>
      </c>
      <c r="I14" s="13">
        <v>156.33916554508747</v>
      </c>
      <c r="J14" s="12">
        <v>2200</v>
      </c>
      <c r="K14" s="13">
        <f t="shared" si="4"/>
        <v>2277</v>
      </c>
      <c r="L14" s="13">
        <f>K14*1.03</f>
        <v>2345.31</v>
      </c>
      <c r="M14" s="13">
        <f>L14*1.03</f>
        <v>2415.6693</v>
      </c>
      <c r="N14" s="3"/>
      <c r="O14" s="3"/>
      <c r="P14" s="3"/>
      <c r="Q14" s="3"/>
      <c r="R14" s="3"/>
    </row>
    <row r="15" spans="2:18" ht="15">
      <c r="B15" s="7" t="s">
        <v>72</v>
      </c>
      <c r="C15" s="12">
        <v>1400</v>
      </c>
      <c r="D15" s="13">
        <f t="shared" si="3"/>
        <v>749.9327052489906</v>
      </c>
      <c r="E15" s="13">
        <v>497.44279946164204</v>
      </c>
      <c r="F15" s="13">
        <v>252.4899057873486</v>
      </c>
      <c r="G15" s="13">
        <f t="shared" si="1"/>
        <v>650.0672947510094</v>
      </c>
      <c r="H15" s="13">
        <f t="shared" si="2"/>
        <v>0</v>
      </c>
      <c r="I15" s="13">
        <v>99.48855989232841</v>
      </c>
      <c r="J15" s="12">
        <v>1400</v>
      </c>
      <c r="K15" s="13">
        <f t="shared" si="4"/>
        <v>1449</v>
      </c>
      <c r="L15" s="13">
        <f>K15*1.03</f>
        <v>1492.47</v>
      </c>
      <c r="M15" s="13">
        <f>L15*1.03</f>
        <v>1537.2441000000001</v>
      </c>
      <c r="N15" s="3"/>
      <c r="O15" s="3"/>
      <c r="P15" s="3"/>
      <c r="Q15" s="3"/>
      <c r="R15" s="3"/>
    </row>
    <row r="16" spans="2:18" ht="15">
      <c r="B16" s="7" t="s">
        <v>48</v>
      </c>
      <c r="C16" s="12">
        <v>1400</v>
      </c>
      <c r="D16" s="13">
        <f t="shared" si="3"/>
        <v>749.9327052489906</v>
      </c>
      <c r="E16" s="13">
        <v>497.44279946164204</v>
      </c>
      <c r="F16" s="13">
        <v>252.4899057873486</v>
      </c>
      <c r="G16" s="13">
        <f t="shared" si="1"/>
        <v>650.0672947510094</v>
      </c>
      <c r="H16" s="13">
        <f t="shared" si="2"/>
        <v>0</v>
      </c>
      <c r="I16" s="13">
        <v>99.48855989232841</v>
      </c>
      <c r="J16" s="12">
        <v>1400</v>
      </c>
      <c r="K16" s="13">
        <f t="shared" si="4"/>
        <v>1449</v>
      </c>
      <c r="L16" s="13">
        <f>K16*1.03</f>
        <v>1492.47</v>
      </c>
      <c r="M16" s="13">
        <f>L16*1.03</f>
        <v>1537.2441000000001</v>
      </c>
      <c r="N16" s="3"/>
      <c r="O16" s="3"/>
      <c r="P16" s="3"/>
      <c r="Q16" s="3"/>
      <c r="R16" s="3"/>
    </row>
    <row r="17" spans="2:18" ht="15">
      <c r="B17" s="7" t="s">
        <v>49</v>
      </c>
      <c r="C17" s="12">
        <v>1400</v>
      </c>
      <c r="D17" s="13">
        <f t="shared" si="3"/>
        <v>749.9327052489906</v>
      </c>
      <c r="E17" s="13">
        <v>497.44279946164204</v>
      </c>
      <c r="F17" s="13">
        <v>252.4899057873486</v>
      </c>
      <c r="G17" s="13">
        <f t="shared" si="1"/>
        <v>650.0672947510094</v>
      </c>
      <c r="H17" s="13">
        <f t="shared" si="2"/>
        <v>0</v>
      </c>
      <c r="I17" s="13">
        <v>99.48855989232841</v>
      </c>
      <c r="J17" s="12">
        <v>1400</v>
      </c>
      <c r="K17" s="13">
        <f t="shared" si="4"/>
        <v>1449</v>
      </c>
      <c r="L17" s="13">
        <f>K17*1.03</f>
        <v>1492.47</v>
      </c>
      <c r="M17" s="13">
        <f>L17*1.03</f>
        <v>1537.2441000000001</v>
      </c>
      <c r="N17" s="3"/>
      <c r="O17" s="3"/>
      <c r="P17" s="3"/>
      <c r="Q17" s="3"/>
      <c r="R17" s="3"/>
    </row>
    <row r="18" spans="2:18" ht="15">
      <c r="B18" s="11" t="s">
        <v>76</v>
      </c>
      <c r="C18" s="12">
        <v>1100</v>
      </c>
      <c r="D18" s="13">
        <f t="shared" si="3"/>
        <v>589.2328398384925</v>
      </c>
      <c r="E18" s="13">
        <v>390.84791386271866</v>
      </c>
      <c r="F18" s="13">
        <v>198.38492597577388</v>
      </c>
      <c r="G18" s="13">
        <f t="shared" si="1"/>
        <v>510.7671601615075</v>
      </c>
      <c r="H18" s="13">
        <f t="shared" si="2"/>
        <v>0</v>
      </c>
      <c r="I18" s="13">
        <v>78.16958277254373</v>
      </c>
      <c r="J18" s="12">
        <v>1100</v>
      </c>
      <c r="K18" s="13">
        <f t="shared" si="4"/>
        <v>1138.5</v>
      </c>
      <c r="L18" s="13">
        <f>K18*1.03</f>
        <v>1172.655</v>
      </c>
      <c r="M18" s="13">
        <f>L18*1.03</f>
        <v>1207.83465</v>
      </c>
      <c r="N18" s="3"/>
      <c r="O18" s="3"/>
      <c r="P18" s="3"/>
      <c r="Q18" s="3"/>
      <c r="R18" s="3"/>
    </row>
    <row r="19" spans="2:18" ht="15">
      <c r="B19" s="7" t="s">
        <v>50</v>
      </c>
      <c r="C19" s="12">
        <v>1400</v>
      </c>
      <c r="D19" s="13">
        <f t="shared" si="3"/>
        <v>749.9327052489906</v>
      </c>
      <c r="E19" s="13">
        <v>497.44279946164204</v>
      </c>
      <c r="F19" s="13">
        <v>252.4899057873486</v>
      </c>
      <c r="G19" s="13">
        <f t="shared" si="1"/>
        <v>650.0672947510094</v>
      </c>
      <c r="H19" s="13">
        <f t="shared" si="2"/>
        <v>0</v>
      </c>
      <c r="I19" s="13">
        <v>99.48855989232841</v>
      </c>
      <c r="J19" s="12">
        <v>1400</v>
      </c>
      <c r="K19" s="13">
        <f t="shared" si="4"/>
        <v>1449</v>
      </c>
      <c r="L19" s="13">
        <f>K19*1.03</f>
        <v>1492.47</v>
      </c>
      <c r="M19" s="13">
        <f>L19*1.03</f>
        <v>1537.2441000000001</v>
      </c>
      <c r="N19" s="3"/>
      <c r="O19" s="3"/>
      <c r="P19" s="3"/>
      <c r="Q19" s="3"/>
      <c r="R19" s="3"/>
    </row>
    <row r="20" spans="2:18" ht="15">
      <c r="B20" s="11" t="s">
        <v>77</v>
      </c>
      <c r="C20" s="12">
        <v>1400</v>
      </c>
      <c r="D20" s="13">
        <f t="shared" si="3"/>
        <v>749.9327052489906</v>
      </c>
      <c r="E20" s="13">
        <v>497.44279946164204</v>
      </c>
      <c r="F20" s="13">
        <v>252.4899057873486</v>
      </c>
      <c r="G20" s="13">
        <f t="shared" si="1"/>
        <v>650.0672947510094</v>
      </c>
      <c r="H20" s="13">
        <f t="shared" si="2"/>
        <v>0</v>
      </c>
      <c r="I20" s="13">
        <v>99.48855989232841</v>
      </c>
      <c r="J20" s="12">
        <v>1400</v>
      </c>
      <c r="K20" s="13">
        <f t="shared" si="4"/>
        <v>1449</v>
      </c>
      <c r="L20" s="13">
        <f>K20*1.03</f>
        <v>1492.47</v>
      </c>
      <c r="M20" s="13">
        <f>L20*1.03</f>
        <v>1537.2441000000001</v>
      </c>
      <c r="N20" s="3"/>
      <c r="O20" s="3"/>
      <c r="P20" s="3"/>
      <c r="Q20" s="3"/>
      <c r="R20" s="3"/>
    </row>
    <row r="21" spans="2:18" ht="15">
      <c r="B21" s="7" t="s">
        <v>51</v>
      </c>
      <c r="C21" s="12">
        <v>1200</v>
      </c>
      <c r="D21" s="13">
        <f t="shared" si="3"/>
        <v>642.7994616419919</v>
      </c>
      <c r="E21" s="13">
        <v>426.37954239569314</v>
      </c>
      <c r="F21" s="13">
        <v>216.41991924629878</v>
      </c>
      <c r="G21" s="13">
        <f t="shared" si="1"/>
        <v>557.2005383580081</v>
      </c>
      <c r="H21" s="13">
        <f t="shared" si="2"/>
        <v>0</v>
      </c>
      <c r="I21" s="13">
        <v>85.27590847913864</v>
      </c>
      <c r="J21" s="12">
        <v>1200</v>
      </c>
      <c r="K21" s="13">
        <f t="shared" si="4"/>
        <v>1242</v>
      </c>
      <c r="L21" s="13">
        <f>K21*1.03</f>
        <v>1279.26</v>
      </c>
      <c r="M21" s="13">
        <f>L21*1.03</f>
        <v>1317.6378</v>
      </c>
      <c r="N21" s="3"/>
      <c r="O21" s="3"/>
      <c r="P21" s="3"/>
      <c r="Q21" s="3"/>
      <c r="R21" s="3"/>
    </row>
    <row r="22" spans="2:18" ht="15">
      <c r="B22" s="7" t="s">
        <v>52</v>
      </c>
      <c r="C22" s="12">
        <v>1400</v>
      </c>
      <c r="D22" s="13">
        <f t="shared" si="3"/>
        <v>749.9327052489906</v>
      </c>
      <c r="E22" s="13">
        <v>497.44279946164204</v>
      </c>
      <c r="F22" s="13">
        <v>252.4899057873486</v>
      </c>
      <c r="G22" s="13">
        <f t="shared" si="1"/>
        <v>650.0672947510094</v>
      </c>
      <c r="H22" s="13">
        <f t="shared" si="2"/>
        <v>0</v>
      </c>
      <c r="I22" s="13">
        <v>99.48855989232841</v>
      </c>
      <c r="J22" s="12">
        <v>1400</v>
      </c>
      <c r="K22" s="13">
        <f t="shared" si="4"/>
        <v>1449</v>
      </c>
      <c r="L22" s="13">
        <f>K22*1.03</f>
        <v>1492.47</v>
      </c>
      <c r="M22" s="13">
        <f>L22*1.03</f>
        <v>1537.2441000000001</v>
      </c>
      <c r="N22" s="3"/>
      <c r="O22" s="3"/>
      <c r="P22" s="3"/>
      <c r="Q22" s="3"/>
      <c r="R22" s="3"/>
    </row>
    <row r="23" spans="2:18" ht="15">
      <c r="B23" s="7" t="s">
        <v>53</v>
      </c>
      <c r="C23" s="12">
        <v>1400</v>
      </c>
      <c r="D23" s="13">
        <f t="shared" si="3"/>
        <v>749.9327052489906</v>
      </c>
      <c r="E23" s="13">
        <v>497.44279946164204</v>
      </c>
      <c r="F23" s="13">
        <v>252.4899057873486</v>
      </c>
      <c r="G23" s="13">
        <f t="shared" si="1"/>
        <v>650.0672947510094</v>
      </c>
      <c r="H23" s="13">
        <f t="shared" si="2"/>
        <v>0</v>
      </c>
      <c r="I23" s="13">
        <v>99.48855989232841</v>
      </c>
      <c r="J23" s="12">
        <v>1400</v>
      </c>
      <c r="K23" s="13">
        <f t="shared" si="4"/>
        <v>1449</v>
      </c>
      <c r="L23" s="13">
        <f>K23*1.03</f>
        <v>1492.47</v>
      </c>
      <c r="M23" s="13">
        <f>L23*1.03</f>
        <v>1537.2441000000001</v>
      </c>
      <c r="N23" s="3"/>
      <c r="O23" s="3"/>
      <c r="P23" s="3"/>
      <c r="Q23" s="3"/>
      <c r="R23" s="3"/>
    </row>
    <row r="24" spans="2:18" ht="15">
      <c r="B24" s="7" t="s">
        <v>54</v>
      </c>
      <c r="C24" s="12">
        <v>1400</v>
      </c>
      <c r="D24" s="13">
        <f t="shared" si="3"/>
        <v>749.9327052489906</v>
      </c>
      <c r="E24" s="13">
        <v>497.44279946164204</v>
      </c>
      <c r="F24" s="13">
        <v>252.4899057873486</v>
      </c>
      <c r="G24" s="13">
        <f t="shared" si="1"/>
        <v>650.0672947510094</v>
      </c>
      <c r="H24" s="13">
        <f t="shared" si="2"/>
        <v>0</v>
      </c>
      <c r="I24" s="13">
        <v>99.48855989232841</v>
      </c>
      <c r="J24" s="12">
        <v>1400</v>
      </c>
      <c r="K24" s="13">
        <f t="shared" si="4"/>
        <v>1449</v>
      </c>
      <c r="L24" s="13">
        <f>K24*1.03</f>
        <v>1492.47</v>
      </c>
      <c r="M24" s="13">
        <f>L24*1.03</f>
        <v>1537.2441000000001</v>
      </c>
      <c r="N24" s="3"/>
      <c r="O24" s="3"/>
      <c r="P24" s="3"/>
      <c r="Q24" s="3"/>
      <c r="R24" s="3"/>
    </row>
    <row r="25" spans="2:18" ht="15">
      <c r="B25" s="7" t="s">
        <v>55</v>
      </c>
      <c r="C25" s="12">
        <v>1400</v>
      </c>
      <c r="D25" s="13">
        <f t="shared" si="3"/>
        <v>749.9327052489906</v>
      </c>
      <c r="E25" s="13">
        <v>497.44279946164204</v>
      </c>
      <c r="F25" s="13">
        <v>252.4899057873486</v>
      </c>
      <c r="G25" s="13">
        <f t="shared" si="1"/>
        <v>650.0672947510094</v>
      </c>
      <c r="H25" s="13">
        <f t="shared" si="2"/>
        <v>0</v>
      </c>
      <c r="I25" s="13">
        <v>99.48855989232841</v>
      </c>
      <c r="J25" s="12">
        <v>1400</v>
      </c>
      <c r="K25" s="13">
        <f t="shared" si="4"/>
        <v>1449</v>
      </c>
      <c r="L25" s="13">
        <f>K25*1.03</f>
        <v>1492.47</v>
      </c>
      <c r="M25" s="13">
        <f>L25*1.03</f>
        <v>1537.2441000000001</v>
      </c>
      <c r="N25" s="3"/>
      <c r="O25" s="3"/>
      <c r="P25" s="3"/>
      <c r="Q25" s="3"/>
      <c r="R25" s="3"/>
    </row>
    <row r="26" spans="2:18" ht="15">
      <c r="B26" s="7" t="s">
        <v>145</v>
      </c>
      <c r="C26" s="12">
        <v>0</v>
      </c>
      <c r="D26" s="13">
        <f t="shared" si="3"/>
        <v>267.83310901749667</v>
      </c>
      <c r="E26" s="13">
        <v>177.65814266487214</v>
      </c>
      <c r="F26" s="13">
        <v>90.1749663526245</v>
      </c>
      <c r="G26" s="13">
        <f t="shared" si="1"/>
        <v>232.16689098250336</v>
      </c>
      <c r="H26" s="13">
        <f t="shared" si="2"/>
        <v>0</v>
      </c>
      <c r="I26" s="13">
        <v>35.53162853297443</v>
      </c>
      <c r="J26" s="12">
        <v>500</v>
      </c>
      <c r="K26" s="13">
        <f t="shared" si="4"/>
        <v>517.5</v>
      </c>
      <c r="L26" s="13">
        <f>K26*1.03</f>
        <v>533.025</v>
      </c>
      <c r="M26" s="13">
        <f>L26*1.03</f>
        <v>549.01575</v>
      </c>
      <c r="N26" s="3"/>
      <c r="O26" s="3"/>
      <c r="P26" s="3"/>
      <c r="Q26" s="3"/>
      <c r="R26" s="3"/>
    </row>
    <row r="27" spans="2:18" ht="15">
      <c r="B27" s="6" t="s">
        <v>140</v>
      </c>
      <c r="C27" s="10">
        <f>SUM(C10:C26)</f>
        <v>33300</v>
      </c>
      <c r="D27" s="10">
        <f aca="true" t="shared" si="5" ref="D27:M27">SUM(D10:D26)</f>
        <v>18105.518169582767</v>
      </c>
      <c r="E27" s="10">
        <f t="shared" si="5"/>
        <v>12009.690444145352</v>
      </c>
      <c r="F27" s="10">
        <f t="shared" si="5"/>
        <v>6095.827725437418</v>
      </c>
      <c r="G27" s="10">
        <f t="shared" si="5"/>
        <v>15694.481830417235</v>
      </c>
      <c r="H27" s="10">
        <f t="shared" si="5"/>
        <v>0</v>
      </c>
      <c r="I27" s="10">
        <f t="shared" si="5"/>
        <v>2401.938088829071</v>
      </c>
      <c r="J27" s="10">
        <f t="shared" si="5"/>
        <v>33800</v>
      </c>
      <c r="K27" s="10">
        <f t="shared" si="5"/>
        <v>34983</v>
      </c>
      <c r="L27" s="10">
        <f t="shared" si="5"/>
        <v>36032.490000000005</v>
      </c>
      <c r="M27" s="10">
        <f t="shared" si="5"/>
        <v>37113.46470000001</v>
      </c>
      <c r="N27" s="3"/>
      <c r="O27" s="3"/>
      <c r="P27" s="3"/>
      <c r="Q27" s="3"/>
      <c r="R27" s="3"/>
    </row>
    <row r="28" spans="2:18" ht="1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</row>
    <row r="29" spans="2:18" ht="15">
      <c r="B29" s="6" t="s">
        <v>70</v>
      </c>
      <c r="C29" s="10">
        <f>C27+C8</f>
        <v>39300</v>
      </c>
      <c r="D29" s="10">
        <f aca="true" t="shared" si="6" ref="D29:M29">D27+D8</f>
        <v>18505.518169582767</v>
      </c>
      <c r="E29" s="10">
        <f t="shared" si="6"/>
        <v>12009.690444145352</v>
      </c>
      <c r="F29" s="10">
        <f t="shared" si="6"/>
        <v>6095.827725437418</v>
      </c>
      <c r="G29" s="10"/>
      <c r="H29" s="10">
        <f t="shared" si="6"/>
        <v>-400</v>
      </c>
      <c r="I29" s="10"/>
      <c r="J29" s="10">
        <f>J27+J8</f>
        <v>38000</v>
      </c>
      <c r="K29" s="10">
        <f t="shared" si="6"/>
        <v>89309</v>
      </c>
      <c r="L29" s="10">
        <f t="shared" si="6"/>
        <v>90488.27</v>
      </c>
      <c r="M29" s="10">
        <f t="shared" si="6"/>
        <v>91702.91810000001</v>
      </c>
      <c r="N29" s="3"/>
      <c r="O29" s="3"/>
      <c r="P29" s="3"/>
      <c r="Q29" s="3"/>
      <c r="R29" s="3"/>
    </row>
    <row r="30" spans="2:18" ht="15"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"/>
      <c r="O30" s="3"/>
      <c r="P30" s="3"/>
      <c r="Q30" s="3"/>
      <c r="R30" s="3"/>
    </row>
    <row r="31" spans="2:18" ht="15">
      <c r="B31" s="6" t="s">
        <v>0</v>
      </c>
      <c r="C31" s="10">
        <v>0</v>
      </c>
      <c r="D31" s="10">
        <v>0</v>
      </c>
      <c r="E31" s="10">
        <v>0</v>
      </c>
      <c r="F31" s="10">
        <v>0</v>
      </c>
      <c r="G31" s="10"/>
      <c r="H31" s="10">
        <f>E31+F31+G31-D31</f>
        <v>0</v>
      </c>
      <c r="I31" s="10"/>
      <c r="J31" s="10">
        <v>0</v>
      </c>
      <c r="K31" s="10">
        <v>0</v>
      </c>
      <c r="L31" s="10">
        <v>0</v>
      </c>
      <c r="M31" s="10">
        <v>0</v>
      </c>
      <c r="N31" s="3"/>
      <c r="O31" s="3"/>
      <c r="P31" s="3"/>
      <c r="Q31" s="3"/>
      <c r="R31" s="3"/>
    </row>
    <row r="32" spans="2:18" ht="15"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"/>
      <c r="O32" s="3"/>
      <c r="P32" s="3"/>
      <c r="Q32" s="3"/>
      <c r="R32" s="3"/>
    </row>
    <row r="33" spans="2:18" ht="15">
      <c r="B33" s="6" t="s">
        <v>73</v>
      </c>
      <c r="C33" s="10">
        <f aca="true" t="shared" si="7" ref="C33:M33">C29+C31</f>
        <v>39300</v>
      </c>
      <c r="D33" s="10">
        <f t="shared" si="7"/>
        <v>18505.518169582767</v>
      </c>
      <c r="E33" s="10">
        <f t="shared" si="7"/>
        <v>12009.690444145352</v>
      </c>
      <c r="F33" s="10">
        <f t="shared" si="7"/>
        <v>6095.827725437418</v>
      </c>
      <c r="G33" s="10"/>
      <c r="H33" s="10">
        <f t="shared" si="7"/>
        <v>-400</v>
      </c>
      <c r="I33" s="10"/>
      <c r="J33" s="10">
        <f>J29+J31</f>
        <v>38000</v>
      </c>
      <c r="K33" s="10">
        <f t="shared" si="7"/>
        <v>89309</v>
      </c>
      <c r="L33" s="10">
        <f t="shared" si="7"/>
        <v>90488.27</v>
      </c>
      <c r="M33" s="10">
        <f t="shared" si="7"/>
        <v>91702.91810000001</v>
      </c>
      <c r="N33" s="3"/>
      <c r="O33" s="3"/>
      <c r="P33" s="3"/>
      <c r="Q33" s="3"/>
      <c r="R33" s="3"/>
    </row>
    <row r="35" ht="15">
      <c r="B35" s="2"/>
    </row>
    <row r="38" ht="15">
      <c r="B38" s="2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PageLayoutView="0" workbookViewId="0" topLeftCell="A1">
      <selection activeCell="B21" sqref="B21:L2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6" t="s">
        <v>10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1200</v>
      </c>
      <c r="D5" s="13">
        <v>400</v>
      </c>
      <c r="E5" s="13">
        <v>402</v>
      </c>
      <c r="F5" s="13">
        <v>218</v>
      </c>
      <c r="G5" s="13"/>
      <c r="H5" s="13">
        <f>E5+F5-D5</f>
        <v>220</v>
      </c>
      <c r="I5" s="13"/>
      <c r="J5" s="13">
        <v>1660</v>
      </c>
      <c r="K5" s="13">
        <f aca="true" t="shared" si="0" ref="K5:M9">J5*1.03</f>
        <v>1709.8</v>
      </c>
      <c r="L5" s="13">
        <f t="shared" si="0"/>
        <v>1761.094</v>
      </c>
      <c r="M5" s="13">
        <f t="shared" si="0"/>
        <v>1813.9268200000001</v>
      </c>
      <c r="N5" s="3"/>
      <c r="O5" s="3"/>
      <c r="P5" s="3"/>
      <c r="Q5" s="3"/>
      <c r="R5" s="3"/>
    </row>
    <row r="6" spans="2:18" ht="15">
      <c r="B6" s="7" t="s">
        <v>81</v>
      </c>
      <c r="C6" s="13">
        <v>600</v>
      </c>
      <c r="D6" s="13">
        <v>200</v>
      </c>
      <c r="E6" s="13">
        <v>442</v>
      </c>
      <c r="F6" s="10"/>
      <c r="G6" s="10"/>
      <c r="H6" s="13">
        <f>E6+F6-D6</f>
        <v>242</v>
      </c>
      <c r="I6" s="13"/>
      <c r="J6" s="13">
        <v>600</v>
      </c>
      <c r="K6" s="13">
        <f t="shared" si="0"/>
        <v>618</v>
      </c>
      <c r="L6" s="13">
        <f t="shared" si="0"/>
        <v>636.54</v>
      </c>
      <c r="M6" s="13">
        <f t="shared" si="0"/>
        <v>655.6362</v>
      </c>
      <c r="N6" s="3"/>
      <c r="O6" s="3"/>
      <c r="P6" s="3"/>
      <c r="Q6" s="3"/>
      <c r="R6" s="3"/>
    </row>
    <row r="7" spans="2:18" ht="15">
      <c r="B7" s="7" t="s">
        <v>148</v>
      </c>
      <c r="C7" s="13">
        <v>0</v>
      </c>
      <c r="D7" s="13">
        <v>0</v>
      </c>
      <c r="E7" s="13">
        <v>235</v>
      </c>
      <c r="F7" s="13"/>
      <c r="G7" s="13"/>
      <c r="H7" s="13">
        <f>E7+F7-D7</f>
        <v>235</v>
      </c>
      <c r="I7" s="13"/>
      <c r="J7" s="13">
        <v>235</v>
      </c>
      <c r="K7" s="13">
        <f t="shared" si="0"/>
        <v>242.05</v>
      </c>
      <c r="L7" s="13">
        <f t="shared" si="0"/>
        <v>249.31150000000002</v>
      </c>
      <c r="M7" s="13">
        <f t="shared" si="0"/>
        <v>256.79084500000005</v>
      </c>
      <c r="N7" s="3"/>
      <c r="O7" s="3"/>
      <c r="P7" s="3"/>
      <c r="Q7" s="3"/>
      <c r="R7" s="3"/>
    </row>
    <row r="8" spans="2:18" ht="15">
      <c r="B8" s="7" t="s">
        <v>69</v>
      </c>
      <c r="C8" s="13">
        <v>600</v>
      </c>
      <c r="D8" s="13">
        <v>600</v>
      </c>
      <c r="E8" s="10"/>
      <c r="F8" s="10"/>
      <c r="G8" s="10"/>
      <c r="H8" s="13">
        <f>E8+F8-D8</f>
        <v>-600</v>
      </c>
      <c r="I8" s="13"/>
      <c r="J8" s="13"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3"/>
      <c r="O8" s="3"/>
      <c r="P8" s="3"/>
      <c r="Q8" s="3"/>
      <c r="R8" s="3"/>
    </row>
    <row r="9" spans="2:18" ht="15">
      <c r="B9" s="7" t="s">
        <v>68</v>
      </c>
      <c r="C9" s="13">
        <v>600</v>
      </c>
      <c r="D9" s="13">
        <v>200</v>
      </c>
      <c r="E9" s="13">
        <v>98</v>
      </c>
      <c r="F9" s="13">
        <v>65</v>
      </c>
      <c r="G9" s="13"/>
      <c r="H9" s="13">
        <f>E9+F9-D9</f>
        <v>-37</v>
      </c>
      <c r="I9" s="13"/>
      <c r="J9" s="13">
        <v>600</v>
      </c>
      <c r="K9" s="13">
        <f t="shared" si="0"/>
        <v>618</v>
      </c>
      <c r="L9" s="13">
        <f t="shared" si="0"/>
        <v>636.54</v>
      </c>
      <c r="M9" s="13">
        <f t="shared" si="0"/>
        <v>655.6362</v>
      </c>
      <c r="N9" s="3"/>
      <c r="O9" s="3"/>
      <c r="P9" s="3"/>
      <c r="Q9" s="3"/>
      <c r="R9" s="3"/>
    </row>
    <row r="10" spans="2:18" ht="15">
      <c r="B10" s="6" t="s">
        <v>80</v>
      </c>
      <c r="C10" s="10">
        <f>SUM(C5:C9)</f>
        <v>3000</v>
      </c>
      <c r="D10" s="10">
        <f aca="true" t="shared" si="1" ref="D10:M10">SUM(D5:D9)</f>
        <v>1400</v>
      </c>
      <c r="E10" s="10">
        <f t="shared" si="1"/>
        <v>1177</v>
      </c>
      <c r="F10" s="10">
        <f t="shared" si="1"/>
        <v>283</v>
      </c>
      <c r="G10" s="10">
        <f t="shared" si="1"/>
        <v>0</v>
      </c>
      <c r="H10" s="10">
        <f t="shared" si="1"/>
        <v>60</v>
      </c>
      <c r="I10" s="10">
        <f t="shared" si="1"/>
        <v>0</v>
      </c>
      <c r="J10" s="10">
        <f>SUM(J5:J9)</f>
        <v>3095</v>
      </c>
      <c r="K10" s="10">
        <f t="shared" si="1"/>
        <v>3187.8500000000004</v>
      </c>
      <c r="L10" s="10">
        <f t="shared" si="1"/>
        <v>3283.4855</v>
      </c>
      <c r="M10" s="10">
        <f t="shared" si="1"/>
        <v>3381.990065</v>
      </c>
      <c r="N10" s="3"/>
      <c r="O10" s="3"/>
      <c r="P10" s="3"/>
      <c r="Q10" s="3"/>
      <c r="R10" s="3"/>
    </row>
    <row r="11" spans="2:18" ht="15">
      <c r="B11" s="8"/>
      <c r="C11" s="13"/>
      <c r="D11" s="10"/>
      <c r="E11" s="10"/>
      <c r="F11" s="10"/>
      <c r="G11" s="10"/>
      <c r="H11" s="13"/>
      <c r="I11" s="13"/>
      <c r="J11" s="13"/>
      <c r="K11" s="13"/>
      <c r="L11" s="13"/>
      <c r="M11" s="13"/>
      <c r="N11" s="3"/>
      <c r="O11" s="3"/>
      <c r="P11" s="3"/>
      <c r="Q11" s="3"/>
      <c r="R11" s="3"/>
    </row>
    <row r="12" spans="2:18" ht="15">
      <c r="B12" s="6" t="s">
        <v>140</v>
      </c>
      <c r="C12" s="10">
        <v>82900</v>
      </c>
      <c r="D12" s="10">
        <f>E12+F12</f>
        <v>44407.009421265146</v>
      </c>
      <c r="E12" s="10">
        <v>29456</v>
      </c>
      <c r="F12" s="10">
        <v>14951.009421265142</v>
      </c>
      <c r="G12" s="10">
        <f>J12-F12-E12</f>
        <v>38492.990578734854</v>
      </c>
      <c r="H12" s="10">
        <f>E12+F12-D12</f>
        <v>0</v>
      </c>
      <c r="I12" s="10">
        <v>5891.144010767159</v>
      </c>
      <c r="J12" s="10">
        <v>82900</v>
      </c>
      <c r="K12" s="10">
        <f>J12*1.035</f>
        <v>85801.5</v>
      </c>
      <c r="L12" s="10">
        <f>K12*1.03</f>
        <v>88375.545</v>
      </c>
      <c r="M12" s="10">
        <f>L12*1.03</f>
        <v>91026.81135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6" t="s">
        <v>70</v>
      </c>
      <c r="C14" s="10">
        <f aca="true" t="shared" si="2" ref="C14:M14">C12+C10</f>
        <v>85900</v>
      </c>
      <c r="D14" s="10">
        <f t="shared" si="2"/>
        <v>45807.009421265146</v>
      </c>
      <c r="E14" s="10">
        <f t="shared" si="2"/>
        <v>30633</v>
      </c>
      <c r="F14" s="10">
        <f t="shared" si="2"/>
        <v>15234.009421265142</v>
      </c>
      <c r="G14" s="10">
        <f t="shared" si="2"/>
        <v>38492.990578734854</v>
      </c>
      <c r="H14" s="10">
        <f t="shared" si="2"/>
        <v>60</v>
      </c>
      <c r="I14" s="10">
        <f t="shared" si="2"/>
        <v>5891.144010767159</v>
      </c>
      <c r="J14" s="10">
        <f>J12+J10</f>
        <v>85995</v>
      </c>
      <c r="K14" s="10">
        <f t="shared" si="2"/>
        <v>88989.35</v>
      </c>
      <c r="L14" s="10">
        <f t="shared" si="2"/>
        <v>91659.0305</v>
      </c>
      <c r="M14" s="10">
        <f t="shared" si="2"/>
        <v>94408.80141500001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7" t="s">
        <v>153</v>
      </c>
      <c r="C16" s="13">
        <v>-9900</v>
      </c>
      <c r="D16" s="13">
        <v>-4950</v>
      </c>
      <c r="E16" s="13">
        <v>-914</v>
      </c>
      <c r="F16" s="13">
        <f>-816-138</f>
        <v>-954</v>
      </c>
      <c r="G16" s="13"/>
      <c r="H16" s="13">
        <f>E16+F16-D16</f>
        <v>3082</v>
      </c>
      <c r="I16" s="13"/>
      <c r="J16" s="13">
        <v>-9900</v>
      </c>
      <c r="K16" s="13">
        <v>-9900</v>
      </c>
      <c r="L16" s="13">
        <v>-9900</v>
      </c>
      <c r="M16" s="13">
        <v>-9900</v>
      </c>
      <c r="N16" s="3"/>
      <c r="O16" s="3"/>
      <c r="P16" s="3"/>
      <c r="Q16" s="3"/>
      <c r="R16" s="3"/>
    </row>
    <row r="17" spans="2:18" ht="15">
      <c r="B17" s="6" t="s">
        <v>0</v>
      </c>
      <c r="C17" s="10">
        <f>C16</f>
        <v>-9900</v>
      </c>
      <c r="D17" s="10">
        <f aca="true" t="shared" si="3" ref="D17:M17">D16</f>
        <v>-4950</v>
      </c>
      <c r="E17" s="10">
        <f t="shared" si="3"/>
        <v>-914</v>
      </c>
      <c r="F17" s="10">
        <f t="shared" si="3"/>
        <v>-954</v>
      </c>
      <c r="G17" s="10">
        <f>G16</f>
        <v>0</v>
      </c>
      <c r="H17" s="10">
        <f>H16</f>
        <v>3082</v>
      </c>
      <c r="I17" s="10">
        <f>I16</f>
        <v>0</v>
      </c>
      <c r="J17" s="10">
        <f>J16</f>
        <v>-9900</v>
      </c>
      <c r="K17" s="10">
        <f t="shared" si="3"/>
        <v>-9900</v>
      </c>
      <c r="L17" s="10">
        <f t="shared" si="3"/>
        <v>-9900</v>
      </c>
      <c r="M17" s="10">
        <f t="shared" si="3"/>
        <v>-9900</v>
      </c>
      <c r="N17" s="3"/>
      <c r="O17" s="3"/>
      <c r="P17" s="3"/>
      <c r="Q17" s="3"/>
      <c r="R17" s="3"/>
    </row>
    <row r="18" spans="2:18" ht="1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2:18" ht="15">
      <c r="B19" s="6" t="s">
        <v>73</v>
      </c>
      <c r="C19" s="10">
        <f aca="true" t="shared" si="4" ref="C19:M19">C14+C17</f>
        <v>76000</v>
      </c>
      <c r="D19" s="10">
        <f t="shared" si="4"/>
        <v>40857.009421265146</v>
      </c>
      <c r="E19" s="10">
        <f t="shared" si="4"/>
        <v>29719</v>
      </c>
      <c r="F19" s="10">
        <f t="shared" si="4"/>
        <v>14280.009421265142</v>
      </c>
      <c r="G19" s="10">
        <f>G14+G17</f>
        <v>38492.990578734854</v>
      </c>
      <c r="H19" s="10">
        <f>H14+H17</f>
        <v>3142</v>
      </c>
      <c r="I19" s="10">
        <f>I14+I17</f>
        <v>5891.144010767159</v>
      </c>
      <c r="J19" s="10">
        <f>J14+J17</f>
        <v>76095</v>
      </c>
      <c r="K19" s="10">
        <f t="shared" si="4"/>
        <v>79089.35</v>
      </c>
      <c r="L19" s="10">
        <f t="shared" si="4"/>
        <v>81759.0305</v>
      </c>
      <c r="M19" s="10">
        <f t="shared" si="4"/>
        <v>84508.80141500001</v>
      </c>
      <c r="N19" s="3"/>
      <c r="O19" s="3"/>
      <c r="P19" s="3"/>
      <c r="Q19" s="3"/>
      <c r="R19" s="3"/>
    </row>
    <row r="21" ht="15">
      <c r="B21" s="2"/>
    </row>
    <row r="24" ht="15">
      <c r="B24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B20" sqref="B20:L2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6" t="s">
        <v>11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2500</v>
      </c>
      <c r="D5" s="13">
        <v>830</v>
      </c>
      <c r="E5" s="13">
        <v>450</v>
      </c>
      <c r="F5" s="13">
        <v>130</v>
      </c>
      <c r="G5" s="13"/>
      <c r="H5" s="13">
        <f>E5+F5-D5</f>
        <v>-250</v>
      </c>
      <c r="I5" s="13"/>
      <c r="J5" s="13">
        <v>2500</v>
      </c>
      <c r="K5" s="13">
        <f aca="true" t="shared" si="0" ref="K5:M7">J5*1.03</f>
        <v>2575</v>
      </c>
      <c r="L5" s="13">
        <f t="shared" si="0"/>
        <v>2652.25</v>
      </c>
      <c r="M5" s="13">
        <f t="shared" si="0"/>
        <v>2731.8175</v>
      </c>
      <c r="N5" s="3"/>
      <c r="O5" s="3"/>
      <c r="P5" s="3"/>
      <c r="Q5" s="3"/>
      <c r="R5" s="3"/>
    </row>
    <row r="6" spans="2:18" ht="15">
      <c r="B6" s="7" t="s">
        <v>69</v>
      </c>
      <c r="C6" s="13">
        <v>500</v>
      </c>
      <c r="D6" s="13">
        <v>500</v>
      </c>
      <c r="E6" s="10"/>
      <c r="F6" s="10"/>
      <c r="G6" s="10"/>
      <c r="H6" s="13">
        <f>E6+F6-D6</f>
        <v>-500</v>
      </c>
      <c r="I6" s="13"/>
      <c r="J6" s="13"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3"/>
      <c r="O6" s="3"/>
      <c r="P6" s="3"/>
      <c r="Q6" s="3"/>
      <c r="R6" s="3"/>
    </row>
    <row r="7" spans="2:18" ht="15">
      <c r="B7" s="7" t="s">
        <v>81</v>
      </c>
      <c r="C7" s="13">
        <v>2400</v>
      </c>
      <c r="D7" s="13">
        <v>800</v>
      </c>
      <c r="E7" s="10"/>
      <c r="F7" s="13">
        <v>63</v>
      </c>
      <c r="G7" s="10"/>
      <c r="H7" s="13">
        <f>E7+F7-D7</f>
        <v>-737</v>
      </c>
      <c r="I7" s="13"/>
      <c r="J7" s="13">
        <v>2400</v>
      </c>
      <c r="K7" s="13">
        <f t="shared" si="0"/>
        <v>2472</v>
      </c>
      <c r="L7" s="13">
        <f t="shared" si="0"/>
        <v>2546.16</v>
      </c>
      <c r="M7" s="13">
        <f t="shared" si="0"/>
        <v>2622.5448</v>
      </c>
      <c r="N7" s="3"/>
      <c r="O7" s="3"/>
      <c r="P7" s="3"/>
      <c r="Q7" s="3"/>
      <c r="R7" s="3"/>
    </row>
    <row r="8" spans="2:18" ht="15">
      <c r="B8" s="6" t="s">
        <v>80</v>
      </c>
      <c r="C8" s="10">
        <f aca="true" t="shared" si="1" ref="C8:M8">SUM(C5:C7)</f>
        <v>5400</v>
      </c>
      <c r="D8" s="10">
        <f t="shared" si="1"/>
        <v>2130</v>
      </c>
      <c r="E8" s="10">
        <f t="shared" si="1"/>
        <v>450</v>
      </c>
      <c r="F8" s="10">
        <f t="shared" si="1"/>
        <v>193</v>
      </c>
      <c r="G8" s="10">
        <f t="shared" si="1"/>
        <v>0</v>
      </c>
      <c r="H8" s="10">
        <f t="shared" si="1"/>
        <v>-1487</v>
      </c>
      <c r="I8" s="10">
        <f t="shared" si="1"/>
        <v>0</v>
      </c>
      <c r="J8" s="10">
        <f>SUM(J5:J7)</f>
        <v>4900</v>
      </c>
      <c r="K8" s="10">
        <f t="shared" si="1"/>
        <v>5047</v>
      </c>
      <c r="L8" s="10">
        <f t="shared" si="1"/>
        <v>5198.41</v>
      </c>
      <c r="M8" s="10">
        <f t="shared" si="1"/>
        <v>5354.362300000001</v>
      </c>
      <c r="N8" s="3"/>
      <c r="O8" s="3"/>
      <c r="P8" s="3"/>
      <c r="Q8" s="3"/>
      <c r="R8" s="3"/>
    </row>
    <row r="9" spans="2:18" ht="1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18" ht="15">
      <c r="B10" s="6" t="s">
        <v>140</v>
      </c>
      <c r="C10" s="10">
        <v>91300</v>
      </c>
      <c r="D10" s="10">
        <f>E10+F10</f>
        <v>48905.948855989234</v>
      </c>
      <c r="E10" s="10">
        <v>32440</v>
      </c>
      <c r="F10" s="10">
        <v>16465.948855989234</v>
      </c>
      <c r="G10" s="10">
        <f>J10-F10-E10</f>
        <v>42394.051144010766</v>
      </c>
      <c r="H10" s="10">
        <f>E10+F10-D10</f>
        <v>0</v>
      </c>
      <c r="I10" s="10">
        <v>6488.075370121131</v>
      </c>
      <c r="J10" s="10">
        <v>91300</v>
      </c>
      <c r="K10" s="10">
        <f>J10*1.035</f>
        <v>94495.49999999999</v>
      </c>
      <c r="L10" s="10">
        <f>K10*1.03</f>
        <v>97330.36499999999</v>
      </c>
      <c r="M10" s="10">
        <f>L10*1.03</f>
        <v>100250.27595</v>
      </c>
      <c r="N10" s="3"/>
      <c r="O10" s="3"/>
      <c r="P10" s="3"/>
      <c r="Q10" s="3"/>
      <c r="R10" s="3"/>
    </row>
    <row r="11" spans="2:18" ht="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ht="15">
      <c r="B12" s="6" t="s">
        <v>70</v>
      </c>
      <c r="C12" s="10">
        <f aca="true" t="shared" si="2" ref="C12:M12">C10+C8</f>
        <v>96700</v>
      </c>
      <c r="D12" s="10">
        <f t="shared" si="2"/>
        <v>51035.948855989234</v>
      </c>
      <c r="E12" s="10">
        <f t="shared" si="2"/>
        <v>32890</v>
      </c>
      <c r="F12" s="10">
        <f t="shared" si="2"/>
        <v>16658.948855989234</v>
      </c>
      <c r="G12" s="10">
        <f t="shared" si="2"/>
        <v>42394.051144010766</v>
      </c>
      <c r="H12" s="10">
        <f t="shared" si="2"/>
        <v>-1487</v>
      </c>
      <c r="I12" s="10">
        <f t="shared" si="2"/>
        <v>6488.075370121131</v>
      </c>
      <c r="J12" s="10">
        <f>J10+J8</f>
        <v>96200</v>
      </c>
      <c r="K12" s="10">
        <f t="shared" si="2"/>
        <v>99542.49999999999</v>
      </c>
      <c r="L12" s="10">
        <f t="shared" si="2"/>
        <v>102528.775</v>
      </c>
      <c r="M12" s="10">
        <f t="shared" si="2"/>
        <v>105604.63824999999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7" t="s">
        <v>153</v>
      </c>
      <c r="C14" s="13">
        <v>-4600</v>
      </c>
      <c r="D14" s="13">
        <v>-2300</v>
      </c>
      <c r="E14" s="13">
        <v>-3239</v>
      </c>
      <c r="F14" s="13">
        <f>-784-365</f>
        <v>-1149</v>
      </c>
      <c r="G14" s="13"/>
      <c r="H14" s="13">
        <f>E14+F14-D14</f>
        <v>-2088</v>
      </c>
      <c r="I14" s="13"/>
      <c r="J14" s="13">
        <v>-4600</v>
      </c>
      <c r="K14" s="13">
        <v>-4600</v>
      </c>
      <c r="L14" s="13">
        <v>-4600</v>
      </c>
      <c r="M14" s="13">
        <v>-4600</v>
      </c>
      <c r="N14" s="3"/>
      <c r="O14" s="3"/>
      <c r="P14" s="3"/>
      <c r="Q14" s="3"/>
      <c r="R14" s="3"/>
    </row>
    <row r="15" spans="2:18" ht="15">
      <c r="B15" s="7" t="s">
        <v>89</v>
      </c>
      <c r="C15" s="13">
        <v>-4800</v>
      </c>
      <c r="D15" s="13">
        <v>-3125</v>
      </c>
      <c r="E15" s="13">
        <v>-3125</v>
      </c>
      <c r="F15" s="10"/>
      <c r="G15" s="10"/>
      <c r="H15" s="13">
        <f>E15+F15-D15</f>
        <v>0</v>
      </c>
      <c r="I15" s="13"/>
      <c r="J15" s="13">
        <v>-6250</v>
      </c>
      <c r="K15" s="13">
        <v>-6250</v>
      </c>
      <c r="L15" s="13">
        <v>-6250</v>
      </c>
      <c r="M15" s="13">
        <v>-6250</v>
      </c>
      <c r="N15" s="3"/>
      <c r="O15" s="3"/>
      <c r="P15" s="3"/>
      <c r="Q15" s="3"/>
      <c r="R15" s="3"/>
    </row>
    <row r="16" spans="2:18" ht="15">
      <c r="B16" s="6" t="s">
        <v>0</v>
      </c>
      <c r="C16" s="10">
        <f>SUM(C14:C15)</f>
        <v>-9400</v>
      </c>
      <c r="D16" s="10">
        <f aca="true" t="shared" si="3" ref="D16:M16">SUM(D14:D15)</f>
        <v>-5425</v>
      </c>
      <c r="E16" s="10">
        <f t="shared" si="3"/>
        <v>-6364</v>
      </c>
      <c r="F16" s="10">
        <f t="shared" si="3"/>
        <v>-1149</v>
      </c>
      <c r="G16" s="10">
        <f t="shared" si="3"/>
        <v>0</v>
      </c>
      <c r="H16" s="10">
        <f t="shared" si="3"/>
        <v>-2088</v>
      </c>
      <c r="I16" s="10">
        <f t="shared" si="3"/>
        <v>0</v>
      </c>
      <c r="J16" s="10">
        <f>SUM(J14:J15)</f>
        <v>-10850</v>
      </c>
      <c r="K16" s="10">
        <f t="shared" si="3"/>
        <v>-10850</v>
      </c>
      <c r="L16" s="10">
        <f t="shared" si="3"/>
        <v>-10850</v>
      </c>
      <c r="M16" s="10">
        <f t="shared" si="3"/>
        <v>-10850</v>
      </c>
      <c r="N16" s="3"/>
      <c r="O16" s="3"/>
      <c r="P16" s="3"/>
      <c r="Q16" s="3"/>
      <c r="R16" s="3"/>
    </row>
    <row r="17" spans="2:18" ht="15"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"/>
      <c r="O17" s="3"/>
      <c r="P17" s="3"/>
      <c r="Q17" s="3"/>
      <c r="R17" s="3"/>
    </row>
    <row r="18" spans="2:18" ht="15">
      <c r="B18" s="6" t="s">
        <v>73</v>
      </c>
      <c r="C18" s="10">
        <f aca="true" t="shared" si="4" ref="C18:M18">C12+C16</f>
        <v>87300</v>
      </c>
      <c r="D18" s="10">
        <f t="shared" si="4"/>
        <v>45610.948855989234</v>
      </c>
      <c r="E18" s="10">
        <f t="shared" si="4"/>
        <v>26526</v>
      </c>
      <c r="F18" s="10">
        <f t="shared" si="4"/>
        <v>15509.948855989234</v>
      </c>
      <c r="G18" s="10">
        <f t="shared" si="4"/>
        <v>42394.051144010766</v>
      </c>
      <c r="H18" s="10">
        <f t="shared" si="4"/>
        <v>-3575</v>
      </c>
      <c r="I18" s="10">
        <f t="shared" si="4"/>
        <v>6488.075370121131</v>
      </c>
      <c r="J18" s="10">
        <f>J12+J16</f>
        <v>85350</v>
      </c>
      <c r="K18" s="10">
        <f t="shared" si="4"/>
        <v>88692.49999999999</v>
      </c>
      <c r="L18" s="10">
        <f t="shared" si="4"/>
        <v>91678.775</v>
      </c>
      <c r="M18" s="10">
        <f t="shared" si="4"/>
        <v>94754.63824999999</v>
      </c>
      <c r="N18" s="3"/>
      <c r="O18" s="3"/>
      <c r="P18" s="3"/>
      <c r="Q18" s="3"/>
      <c r="R18" s="3"/>
    </row>
    <row r="20" ht="15">
      <c r="B20" s="2"/>
    </row>
    <row r="23" ht="15">
      <c r="B2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zoomScalePageLayoutView="0" workbookViewId="0" topLeftCell="A1">
      <selection activeCell="B18" sqref="B18:J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6" t="s">
        <v>101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300</v>
      </c>
      <c r="D5" s="13">
        <v>100</v>
      </c>
      <c r="E5">
        <v>67</v>
      </c>
      <c r="F5" s="13">
        <v>64</v>
      </c>
      <c r="G5" s="13"/>
      <c r="H5" s="13">
        <f>E5+F5-D5</f>
        <v>31</v>
      </c>
      <c r="I5" s="13"/>
      <c r="J5" s="13">
        <v>400</v>
      </c>
      <c r="K5" s="13">
        <f aca="true" t="shared" si="0" ref="K5:M6">J5*1.03</f>
        <v>412</v>
      </c>
      <c r="L5" s="13">
        <f t="shared" si="0"/>
        <v>424.36</v>
      </c>
      <c r="M5" s="13">
        <f t="shared" si="0"/>
        <v>437.0908</v>
      </c>
      <c r="N5" s="3"/>
      <c r="O5" s="3"/>
      <c r="P5" s="3"/>
      <c r="Q5" s="3"/>
      <c r="R5" s="3"/>
    </row>
    <row r="6" spans="2:18" ht="15">
      <c r="B6" s="7" t="s">
        <v>81</v>
      </c>
      <c r="C6" s="13">
        <v>600</v>
      </c>
      <c r="D6" s="13">
        <v>200</v>
      </c>
      <c r="E6" s="13">
        <v>194</v>
      </c>
      <c r="F6" s="13">
        <v>97</v>
      </c>
      <c r="G6" s="10"/>
      <c r="H6" s="13">
        <f>E6+F6-D6</f>
        <v>91</v>
      </c>
      <c r="I6" s="13"/>
      <c r="J6" s="13">
        <v>600</v>
      </c>
      <c r="K6" s="13">
        <f t="shared" si="0"/>
        <v>618</v>
      </c>
      <c r="L6" s="13">
        <f t="shared" si="0"/>
        <v>636.54</v>
      </c>
      <c r="M6" s="13">
        <f t="shared" si="0"/>
        <v>655.6362</v>
      </c>
      <c r="N6" s="3"/>
      <c r="O6" s="3"/>
      <c r="P6" s="3"/>
      <c r="Q6" s="3"/>
      <c r="R6" s="3"/>
    </row>
    <row r="7" spans="2:18" ht="15">
      <c r="B7" s="7" t="s">
        <v>58</v>
      </c>
      <c r="C7" s="13">
        <v>1100</v>
      </c>
      <c r="D7" s="13">
        <v>1100</v>
      </c>
      <c r="E7" s="13">
        <v>1142</v>
      </c>
      <c r="F7" s="13"/>
      <c r="G7" s="13"/>
      <c r="H7" s="13">
        <f>E7+F7-D7</f>
        <v>42</v>
      </c>
      <c r="I7" s="13"/>
      <c r="J7" s="13">
        <v>1142</v>
      </c>
      <c r="K7" s="13">
        <v>1270</v>
      </c>
      <c r="L7" s="13">
        <v>1310</v>
      </c>
      <c r="M7" s="13">
        <v>1350</v>
      </c>
      <c r="N7" s="3"/>
      <c r="O7" s="3"/>
      <c r="P7" s="3"/>
      <c r="Q7" s="3"/>
      <c r="R7" s="3"/>
    </row>
    <row r="8" spans="2:18" ht="15">
      <c r="B8" s="6" t="s">
        <v>80</v>
      </c>
      <c r="C8" s="10">
        <f aca="true" t="shared" si="1" ref="C8:M8">SUM(C5:C7)</f>
        <v>2000</v>
      </c>
      <c r="D8" s="10">
        <f t="shared" si="1"/>
        <v>1400</v>
      </c>
      <c r="E8" s="10">
        <f t="shared" si="1"/>
        <v>1403</v>
      </c>
      <c r="F8" s="10">
        <f>SUM(F5:F7)</f>
        <v>161</v>
      </c>
      <c r="G8" s="10">
        <f>SUM(G5:G7)</f>
        <v>0</v>
      </c>
      <c r="H8" s="10">
        <f>SUM(H5:H7)</f>
        <v>164</v>
      </c>
      <c r="I8" s="10">
        <f>SUM(I5:I7)</f>
        <v>0</v>
      </c>
      <c r="J8" s="10">
        <f>SUM(J5:J7)</f>
        <v>2142</v>
      </c>
      <c r="K8" s="10">
        <f t="shared" si="1"/>
        <v>2300</v>
      </c>
      <c r="L8" s="10">
        <f t="shared" si="1"/>
        <v>2370.9</v>
      </c>
      <c r="M8" s="10">
        <f t="shared" si="1"/>
        <v>2442.727</v>
      </c>
      <c r="N8" s="3"/>
      <c r="O8" s="3"/>
      <c r="P8" s="3"/>
      <c r="Q8" s="3"/>
      <c r="R8" s="3"/>
    </row>
    <row r="9" spans="2:18" ht="15">
      <c r="B9" s="8"/>
      <c r="C9" s="13"/>
      <c r="D9" s="10"/>
      <c r="E9" s="10"/>
      <c r="F9" s="10"/>
      <c r="G9" s="10"/>
      <c r="H9" s="10"/>
      <c r="I9" s="10"/>
      <c r="J9" s="13"/>
      <c r="K9" s="13"/>
      <c r="L9" s="13"/>
      <c r="M9" s="13"/>
      <c r="N9" s="3"/>
      <c r="O9" s="3"/>
      <c r="P9" s="3"/>
      <c r="Q9" s="3"/>
      <c r="R9" s="3"/>
    </row>
    <row r="10" spans="2:18" ht="15">
      <c r="B10" s="6" t="s">
        <v>140</v>
      </c>
      <c r="C10" s="10">
        <v>5800</v>
      </c>
      <c r="D10" s="10">
        <f>E10+F10</f>
        <v>3107.029609690444</v>
      </c>
      <c r="E10" s="10">
        <v>2061</v>
      </c>
      <c r="F10" s="10">
        <v>1046.029609690444</v>
      </c>
      <c r="G10" s="10">
        <f>J10-F10-E10</f>
        <v>2692.970390309556</v>
      </c>
      <c r="H10" s="10">
        <f>E10+F10-D10</f>
        <v>0</v>
      </c>
      <c r="I10" s="10">
        <v>412.16689098250333</v>
      </c>
      <c r="J10" s="10">
        <v>5800</v>
      </c>
      <c r="K10" s="10">
        <f>J10*1.035</f>
        <v>6002.999999999999</v>
      </c>
      <c r="L10" s="10">
        <f>K10*1.03</f>
        <v>6183.089999999999</v>
      </c>
      <c r="M10" s="10">
        <f>L10*1.03</f>
        <v>6368.582699999999</v>
      </c>
      <c r="N10" s="3"/>
      <c r="O10" s="3"/>
      <c r="P10" s="3"/>
      <c r="Q10" s="3"/>
      <c r="R10" s="3"/>
    </row>
    <row r="11" spans="2:18" ht="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ht="15">
      <c r="B12" s="6" t="s">
        <v>70</v>
      </c>
      <c r="C12" s="10">
        <f aca="true" t="shared" si="2" ref="C12:M12">C10+C8</f>
        <v>7800</v>
      </c>
      <c r="D12" s="10">
        <f t="shared" si="2"/>
        <v>4507.029609690444</v>
      </c>
      <c r="E12" s="10">
        <f t="shared" si="2"/>
        <v>3464</v>
      </c>
      <c r="F12" s="10">
        <f t="shared" si="2"/>
        <v>1207.029609690444</v>
      </c>
      <c r="G12" s="10">
        <f>G10+G8</f>
        <v>2692.970390309556</v>
      </c>
      <c r="H12" s="10">
        <f>H10+H8</f>
        <v>164</v>
      </c>
      <c r="I12" s="10">
        <f>I10+I8</f>
        <v>412.16689098250333</v>
      </c>
      <c r="J12" s="10">
        <f>J10+J8</f>
        <v>7942</v>
      </c>
      <c r="K12" s="10">
        <f t="shared" si="2"/>
        <v>8303</v>
      </c>
      <c r="L12" s="10">
        <f t="shared" si="2"/>
        <v>8553.99</v>
      </c>
      <c r="M12" s="10">
        <f t="shared" si="2"/>
        <v>8811.309699999998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6" t="s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6" t="s">
        <v>73</v>
      </c>
      <c r="C16" s="10">
        <f aca="true" t="shared" si="3" ref="C16:M16">C12+C14</f>
        <v>7800</v>
      </c>
      <c r="D16" s="10">
        <f t="shared" si="3"/>
        <v>4507.029609690444</v>
      </c>
      <c r="E16" s="10">
        <f t="shared" si="3"/>
        <v>3464</v>
      </c>
      <c r="F16" s="10">
        <f t="shared" si="3"/>
        <v>1207.029609690444</v>
      </c>
      <c r="G16" s="10">
        <f>G12+G14</f>
        <v>2692.970390309556</v>
      </c>
      <c r="H16" s="10">
        <f>H12+H14</f>
        <v>164</v>
      </c>
      <c r="I16" s="10">
        <f>I12+I14</f>
        <v>412.16689098250333</v>
      </c>
      <c r="J16" s="10">
        <f>J12+J14</f>
        <v>7942</v>
      </c>
      <c r="K16" s="10">
        <f t="shared" si="3"/>
        <v>8303</v>
      </c>
      <c r="L16" s="10">
        <f t="shared" si="3"/>
        <v>8553.99</v>
      </c>
      <c r="M16" s="10">
        <f t="shared" si="3"/>
        <v>8811.309699999998</v>
      </c>
      <c r="N16" s="3"/>
      <c r="O16" s="3"/>
      <c r="P16" s="3"/>
      <c r="Q16" s="3"/>
      <c r="R16" s="3"/>
    </row>
    <row r="18" ht="15">
      <c r="B18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7"/>
  <sheetViews>
    <sheetView zoomScalePageLayoutView="0" workbookViewId="0" topLeftCell="A1">
      <selection activeCell="B17" sqref="B17:J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102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81</v>
      </c>
      <c r="C5" s="13">
        <v>1800</v>
      </c>
      <c r="D5" s="13">
        <v>600</v>
      </c>
      <c r="E5" s="10"/>
      <c r="F5" s="10"/>
      <c r="G5" s="10"/>
      <c r="H5" s="13">
        <f>E5+F5-D5</f>
        <v>-600</v>
      </c>
      <c r="I5" s="13"/>
      <c r="J5" s="13">
        <v>1800</v>
      </c>
      <c r="K5" s="13">
        <f>J5*1.03</f>
        <v>1854</v>
      </c>
      <c r="L5" s="13">
        <f>K5*1.03</f>
        <v>1909.6200000000001</v>
      </c>
      <c r="M5" s="13">
        <f>L5*1.03</f>
        <v>1966.9086000000002</v>
      </c>
      <c r="N5" s="3"/>
      <c r="O5" s="3"/>
      <c r="P5" s="3"/>
      <c r="Q5" s="3"/>
      <c r="R5" s="3"/>
    </row>
    <row r="6" spans="2:18" ht="15">
      <c r="B6" s="7" t="s">
        <v>58</v>
      </c>
      <c r="C6" s="13">
        <v>1100</v>
      </c>
      <c r="D6" s="13">
        <v>1100</v>
      </c>
      <c r="E6" s="13">
        <v>1095</v>
      </c>
      <c r="F6" s="13"/>
      <c r="G6" s="13"/>
      <c r="H6" s="13">
        <f>E6+F6-D6</f>
        <v>-5</v>
      </c>
      <c r="I6" s="13"/>
      <c r="J6" s="13">
        <v>1095</v>
      </c>
      <c r="K6" s="13">
        <v>1290</v>
      </c>
      <c r="L6" s="13">
        <v>1320</v>
      </c>
      <c r="M6" s="13">
        <v>1360</v>
      </c>
      <c r="N6" s="3"/>
      <c r="O6" s="3"/>
      <c r="P6" s="3"/>
      <c r="Q6" s="3"/>
      <c r="R6" s="3"/>
    </row>
    <row r="7" spans="2:18" ht="15">
      <c r="B7" s="6" t="s">
        <v>80</v>
      </c>
      <c r="C7" s="10">
        <f aca="true" t="shared" si="0" ref="C7:M7">SUM(C5:C6)</f>
        <v>2900</v>
      </c>
      <c r="D7" s="10">
        <f t="shared" si="0"/>
        <v>1700</v>
      </c>
      <c r="E7" s="10">
        <f t="shared" si="0"/>
        <v>1095</v>
      </c>
      <c r="F7" s="10">
        <f t="shared" si="0"/>
        <v>0</v>
      </c>
      <c r="G7" s="10">
        <f t="shared" si="0"/>
        <v>0</v>
      </c>
      <c r="H7" s="10">
        <f t="shared" si="0"/>
        <v>-605</v>
      </c>
      <c r="I7" s="10">
        <f t="shared" si="0"/>
        <v>0</v>
      </c>
      <c r="J7" s="10">
        <f>SUM(J5:J6)</f>
        <v>2895</v>
      </c>
      <c r="K7" s="10">
        <f t="shared" si="0"/>
        <v>3144</v>
      </c>
      <c r="L7" s="10">
        <f t="shared" si="0"/>
        <v>3229.62</v>
      </c>
      <c r="M7" s="10">
        <f t="shared" si="0"/>
        <v>3326.9086</v>
      </c>
      <c r="N7" s="3"/>
      <c r="O7" s="3"/>
      <c r="P7" s="3"/>
      <c r="Q7" s="3"/>
      <c r="R7" s="3"/>
    </row>
    <row r="8" spans="2:18" ht="15">
      <c r="B8" s="8"/>
      <c r="C8" s="13"/>
      <c r="D8" s="10"/>
      <c r="E8" s="10"/>
      <c r="F8" s="10"/>
      <c r="G8" s="10"/>
      <c r="H8" s="13"/>
      <c r="I8" s="13"/>
      <c r="J8" s="13"/>
      <c r="K8" s="13"/>
      <c r="L8" s="13"/>
      <c r="M8" s="13"/>
      <c r="N8" s="3"/>
      <c r="O8" s="3"/>
      <c r="P8" s="3"/>
      <c r="Q8" s="3"/>
      <c r="R8" s="3"/>
    </row>
    <row r="9" spans="2:18" ht="15">
      <c r="B9" s="6" t="s">
        <v>140</v>
      </c>
      <c r="C9" s="10">
        <v>6600</v>
      </c>
      <c r="D9" s="10">
        <f>E9+F9</f>
        <v>3535.3095558546433</v>
      </c>
      <c r="E9" s="10">
        <v>2345</v>
      </c>
      <c r="F9" s="10">
        <v>1190.3095558546433</v>
      </c>
      <c r="G9" s="10">
        <f>J9-F9-E9</f>
        <v>3064.690444145357</v>
      </c>
      <c r="H9" s="10">
        <f>E9+F9-D9</f>
        <v>0</v>
      </c>
      <c r="I9" s="10">
        <v>469.0174966352624</v>
      </c>
      <c r="J9" s="10">
        <v>6600</v>
      </c>
      <c r="K9" s="10">
        <f>J9*1.035</f>
        <v>6830.999999999999</v>
      </c>
      <c r="L9" s="10">
        <f>K9*1.03</f>
        <v>7035.929999999999</v>
      </c>
      <c r="M9" s="10">
        <f>L9*1.03</f>
        <v>7247.0079</v>
      </c>
      <c r="N9" s="3"/>
      <c r="O9" s="3"/>
      <c r="P9" s="3"/>
      <c r="Q9" s="3"/>
      <c r="R9" s="3"/>
    </row>
    <row r="10" spans="2:18" ht="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18" ht="15">
      <c r="B11" s="6" t="s">
        <v>70</v>
      </c>
      <c r="C11" s="10">
        <f aca="true" t="shared" si="1" ref="C11:M11">C9+C7</f>
        <v>9500</v>
      </c>
      <c r="D11" s="10">
        <f t="shared" si="1"/>
        <v>5235.309555854643</v>
      </c>
      <c r="E11" s="10">
        <f t="shared" si="1"/>
        <v>3440</v>
      </c>
      <c r="F11" s="10">
        <f t="shared" si="1"/>
        <v>1190.3095558546433</v>
      </c>
      <c r="G11" s="10">
        <f t="shared" si="1"/>
        <v>3064.690444145357</v>
      </c>
      <c r="H11" s="10">
        <f t="shared" si="1"/>
        <v>-605</v>
      </c>
      <c r="I11" s="10">
        <f t="shared" si="1"/>
        <v>469.0174966352624</v>
      </c>
      <c r="J11" s="10">
        <f>J9+J7</f>
        <v>9495</v>
      </c>
      <c r="K11" s="10">
        <f t="shared" si="1"/>
        <v>9975</v>
      </c>
      <c r="L11" s="10">
        <f t="shared" si="1"/>
        <v>10265.55</v>
      </c>
      <c r="M11" s="10">
        <f t="shared" si="1"/>
        <v>10573.9165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6" t="s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E13+F13+G13-D13</f>
        <v>0</v>
      </c>
      <c r="I13" s="10">
        <v>0</v>
      </c>
      <c r="J13" s="10">
        <f>F13+H13-E13</f>
        <v>0</v>
      </c>
      <c r="K13" s="10">
        <v>0</v>
      </c>
      <c r="L13" s="10">
        <v>0</v>
      </c>
      <c r="M13" s="10">
        <v>0</v>
      </c>
      <c r="N13" s="3"/>
      <c r="O13" s="3"/>
      <c r="P13" s="3"/>
      <c r="Q13" s="3"/>
      <c r="R13" s="3"/>
    </row>
    <row r="14" spans="2:18" ht="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18" ht="15">
      <c r="B15" s="6" t="s">
        <v>73</v>
      </c>
      <c r="C15" s="10">
        <f aca="true" t="shared" si="2" ref="C15:M15">C11+C13</f>
        <v>9500</v>
      </c>
      <c r="D15" s="10">
        <f t="shared" si="2"/>
        <v>5235.309555854643</v>
      </c>
      <c r="E15" s="10">
        <f t="shared" si="2"/>
        <v>3440</v>
      </c>
      <c r="F15" s="10">
        <f t="shared" si="2"/>
        <v>1190.3095558546433</v>
      </c>
      <c r="G15" s="10">
        <f t="shared" si="2"/>
        <v>3064.690444145357</v>
      </c>
      <c r="H15" s="10">
        <f t="shared" si="2"/>
        <v>-605</v>
      </c>
      <c r="I15" s="10">
        <f t="shared" si="2"/>
        <v>469.0174966352624</v>
      </c>
      <c r="J15" s="10">
        <f>J11+J13</f>
        <v>9495</v>
      </c>
      <c r="K15" s="10">
        <f t="shared" si="2"/>
        <v>9975</v>
      </c>
      <c r="L15" s="10">
        <f t="shared" si="2"/>
        <v>10265.55</v>
      </c>
      <c r="M15" s="10">
        <f t="shared" si="2"/>
        <v>10573.9165</v>
      </c>
      <c r="N15" s="3"/>
      <c r="O15" s="3"/>
      <c r="P15" s="3"/>
      <c r="Q15" s="3"/>
      <c r="R15" s="3"/>
    </row>
    <row r="17" ht="15">
      <c r="B17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B19" sqref="B19:L22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103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81</v>
      </c>
      <c r="C5" s="13">
        <v>900</v>
      </c>
      <c r="D5" s="13">
        <v>300</v>
      </c>
      <c r="E5" s="13"/>
      <c r="F5" s="10"/>
      <c r="G5" s="10"/>
      <c r="H5" s="13">
        <f>E5+F5-D5</f>
        <v>-300</v>
      </c>
      <c r="I5" s="13"/>
      <c r="J5" s="13">
        <v>900</v>
      </c>
      <c r="K5" s="13">
        <f aca="true" t="shared" si="0" ref="K5:M7">J5*1.03</f>
        <v>927</v>
      </c>
      <c r="L5" s="13">
        <f t="shared" si="0"/>
        <v>954.8100000000001</v>
      </c>
      <c r="M5" s="13">
        <f t="shared" si="0"/>
        <v>983.4543000000001</v>
      </c>
      <c r="N5" s="3"/>
      <c r="O5" s="3"/>
      <c r="P5" s="3"/>
      <c r="Q5" s="3"/>
      <c r="R5" s="3"/>
    </row>
    <row r="6" spans="2:18" ht="15">
      <c r="B6" s="7" t="s">
        <v>79</v>
      </c>
      <c r="C6" s="13">
        <v>0</v>
      </c>
      <c r="D6" s="13">
        <v>72</v>
      </c>
      <c r="E6" s="13">
        <v>72</v>
      </c>
      <c r="F6" s="13">
        <v>68</v>
      </c>
      <c r="G6" s="13"/>
      <c r="H6" s="13">
        <f>E6+F6-D6</f>
        <v>68</v>
      </c>
      <c r="I6" s="13"/>
      <c r="J6" s="13">
        <v>460</v>
      </c>
      <c r="K6" s="13">
        <f t="shared" si="0"/>
        <v>473.8</v>
      </c>
      <c r="L6" s="13">
        <f t="shared" si="0"/>
        <v>488.014</v>
      </c>
      <c r="M6" s="13">
        <f t="shared" si="0"/>
        <v>502.65442</v>
      </c>
      <c r="N6" s="3"/>
      <c r="O6" s="3"/>
      <c r="P6" s="3"/>
      <c r="Q6" s="3"/>
      <c r="R6" s="3"/>
    </row>
    <row r="7" spans="2:18" ht="15">
      <c r="B7" s="7" t="s">
        <v>69</v>
      </c>
      <c r="C7" s="13">
        <v>100</v>
      </c>
      <c r="D7" s="13">
        <v>100</v>
      </c>
      <c r="E7" s="10"/>
      <c r="F7" s="10"/>
      <c r="G7" s="10"/>
      <c r="H7" s="13">
        <f>E7+F7-D7</f>
        <v>-100</v>
      </c>
      <c r="I7" s="13"/>
      <c r="J7" s="13"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3"/>
      <c r="O7" s="3"/>
      <c r="P7" s="3"/>
      <c r="Q7" s="3"/>
      <c r="R7" s="3"/>
    </row>
    <row r="8" spans="2:18" ht="15">
      <c r="B8" s="7" t="s">
        <v>58</v>
      </c>
      <c r="C8" s="13">
        <v>2000</v>
      </c>
      <c r="D8" s="13">
        <v>2000</v>
      </c>
      <c r="E8" s="13">
        <v>1957</v>
      </c>
      <c r="F8" s="13"/>
      <c r="G8" s="13"/>
      <c r="H8" s="13">
        <f>E8+F8-D8</f>
        <v>-43</v>
      </c>
      <c r="I8" s="13"/>
      <c r="J8" s="13">
        <v>1957</v>
      </c>
      <c r="K8" s="13">
        <v>2260</v>
      </c>
      <c r="L8" s="13">
        <v>2330</v>
      </c>
      <c r="M8" s="13">
        <v>2400</v>
      </c>
      <c r="N8" s="3"/>
      <c r="O8" s="3"/>
      <c r="P8" s="3"/>
      <c r="Q8" s="3"/>
      <c r="R8" s="3"/>
    </row>
    <row r="9" spans="2:18" ht="15">
      <c r="B9" s="6" t="s">
        <v>80</v>
      </c>
      <c r="C9" s="10">
        <f aca="true" t="shared" si="1" ref="C9:M9">SUM(C5:C8)</f>
        <v>3000</v>
      </c>
      <c r="D9" s="10">
        <f t="shared" si="1"/>
        <v>2472</v>
      </c>
      <c r="E9" s="10">
        <f t="shared" si="1"/>
        <v>2029</v>
      </c>
      <c r="F9" s="10">
        <f t="shared" si="1"/>
        <v>68</v>
      </c>
      <c r="G9" s="10">
        <f t="shared" si="1"/>
        <v>0</v>
      </c>
      <c r="H9" s="10">
        <f t="shared" si="1"/>
        <v>-375</v>
      </c>
      <c r="I9" s="10">
        <f t="shared" si="1"/>
        <v>0</v>
      </c>
      <c r="J9" s="10">
        <f>SUM(J5:J8)</f>
        <v>3317</v>
      </c>
      <c r="K9" s="10">
        <f t="shared" si="1"/>
        <v>3660.8</v>
      </c>
      <c r="L9" s="10">
        <f t="shared" si="1"/>
        <v>3772.824</v>
      </c>
      <c r="M9" s="10">
        <f t="shared" si="1"/>
        <v>3886.10872</v>
      </c>
      <c r="N9" s="3"/>
      <c r="O9" s="3"/>
      <c r="P9" s="3"/>
      <c r="Q9" s="3"/>
      <c r="R9" s="3"/>
    </row>
    <row r="10" spans="2:18" ht="15">
      <c r="B10" s="8"/>
      <c r="C10" s="13"/>
      <c r="D10" s="10"/>
      <c r="E10" s="10"/>
      <c r="F10" s="10"/>
      <c r="G10" s="10"/>
      <c r="H10" s="13"/>
      <c r="I10" s="13"/>
      <c r="J10" s="13"/>
      <c r="K10" s="13"/>
      <c r="L10" s="13"/>
      <c r="M10" s="13"/>
      <c r="N10" s="3"/>
      <c r="O10" s="3"/>
      <c r="P10" s="3"/>
      <c r="Q10" s="3"/>
      <c r="R10" s="3"/>
    </row>
    <row r="11" spans="2:18" ht="15">
      <c r="B11" s="6" t="s">
        <v>140</v>
      </c>
      <c r="C11" s="10">
        <v>18800</v>
      </c>
      <c r="D11" s="10">
        <f>E11+F11</f>
        <v>10070.578734858682</v>
      </c>
      <c r="E11" s="10">
        <v>6680</v>
      </c>
      <c r="F11" s="10">
        <v>3390.578734858681</v>
      </c>
      <c r="G11" s="10">
        <f>J11-F11-E11</f>
        <v>8729.421265141318</v>
      </c>
      <c r="H11" s="10">
        <f>E11+F11-D11</f>
        <v>0</v>
      </c>
      <c r="I11" s="10">
        <v>1335.9892328398385</v>
      </c>
      <c r="J11" s="10">
        <v>18800</v>
      </c>
      <c r="K11" s="10">
        <f>J11*1.035</f>
        <v>19458</v>
      </c>
      <c r="L11" s="10">
        <f>K11*1.03</f>
        <v>20041.74</v>
      </c>
      <c r="M11" s="10">
        <f>L11*1.03</f>
        <v>20642.9922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6" t="s">
        <v>70</v>
      </c>
      <c r="C13" s="10">
        <f aca="true" t="shared" si="2" ref="C13:M13">C11+C9</f>
        <v>21800</v>
      </c>
      <c r="D13" s="10">
        <f t="shared" si="2"/>
        <v>12542.578734858682</v>
      </c>
      <c r="E13" s="10">
        <f t="shared" si="2"/>
        <v>8709</v>
      </c>
      <c r="F13" s="10">
        <f t="shared" si="2"/>
        <v>3458.578734858681</v>
      </c>
      <c r="G13" s="10">
        <f t="shared" si="2"/>
        <v>8729.421265141318</v>
      </c>
      <c r="H13" s="10">
        <f t="shared" si="2"/>
        <v>-375</v>
      </c>
      <c r="I13" s="10">
        <f t="shared" si="2"/>
        <v>1335.9892328398385</v>
      </c>
      <c r="J13" s="10">
        <f>J11+J9</f>
        <v>22117</v>
      </c>
      <c r="K13" s="10">
        <f t="shared" si="2"/>
        <v>23118.8</v>
      </c>
      <c r="L13" s="10">
        <f t="shared" si="2"/>
        <v>23814.564000000002</v>
      </c>
      <c r="M13" s="10">
        <f t="shared" si="2"/>
        <v>24529.10092</v>
      </c>
      <c r="N13" s="3"/>
      <c r="O13" s="3"/>
      <c r="P13" s="3"/>
      <c r="Q13" s="3"/>
      <c r="R13" s="3"/>
    </row>
    <row r="14" spans="2:18" ht="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18" ht="15">
      <c r="B15" s="6" t="s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>E15+F15+G15-D15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6" t="s">
        <v>73</v>
      </c>
      <c r="C17" s="10">
        <f aca="true" t="shared" si="3" ref="C17:M17">C13+C15</f>
        <v>21800</v>
      </c>
      <c r="D17" s="10">
        <f t="shared" si="3"/>
        <v>12542.578734858682</v>
      </c>
      <c r="E17" s="10">
        <f t="shared" si="3"/>
        <v>8709</v>
      </c>
      <c r="F17" s="10">
        <f t="shared" si="3"/>
        <v>3458.578734858681</v>
      </c>
      <c r="G17" s="10">
        <f t="shared" si="3"/>
        <v>8729.421265141318</v>
      </c>
      <c r="H17" s="10">
        <f t="shared" si="3"/>
        <v>-375</v>
      </c>
      <c r="I17" s="10">
        <f t="shared" si="3"/>
        <v>1335.9892328398385</v>
      </c>
      <c r="J17" s="10">
        <f>J13+J15</f>
        <v>22117</v>
      </c>
      <c r="K17" s="10">
        <f t="shared" si="3"/>
        <v>23118.8</v>
      </c>
      <c r="L17" s="10">
        <f t="shared" si="3"/>
        <v>23814.564000000002</v>
      </c>
      <c r="M17" s="10">
        <f t="shared" si="3"/>
        <v>24529.10092</v>
      </c>
      <c r="N17" s="3"/>
      <c r="O17" s="3"/>
      <c r="P17" s="3"/>
      <c r="Q17" s="3"/>
      <c r="R17" s="3"/>
    </row>
    <row r="19" ht="15">
      <c r="B19" s="2"/>
    </row>
    <row r="22" ht="15">
      <c r="B22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18" sqref="B18:L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105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/>
      <c r="D5" s="10"/>
      <c r="E5" s="10"/>
      <c r="F5" s="10"/>
      <c r="G5" s="10"/>
      <c r="H5" s="13">
        <f>E5+F5-D5</f>
        <v>0</v>
      </c>
      <c r="I5" s="13"/>
      <c r="J5" s="13"/>
      <c r="K5" s="13"/>
      <c r="L5" s="13"/>
      <c r="M5" s="13"/>
      <c r="N5" s="3"/>
      <c r="O5" s="3"/>
      <c r="P5" s="3"/>
      <c r="Q5" s="3"/>
      <c r="R5" s="3"/>
    </row>
    <row r="6" spans="2:18" ht="15">
      <c r="B6" s="7" t="s">
        <v>81</v>
      </c>
      <c r="C6" s="13"/>
      <c r="D6" s="10"/>
      <c r="E6" s="10"/>
      <c r="F6" s="10"/>
      <c r="G6" s="10"/>
      <c r="H6" s="13">
        <f>E6+F6-D6</f>
        <v>0</v>
      </c>
      <c r="I6" s="13"/>
      <c r="J6" s="13"/>
      <c r="K6" s="13"/>
      <c r="L6" s="13"/>
      <c r="M6" s="13"/>
      <c r="N6" s="3"/>
      <c r="O6" s="3"/>
      <c r="P6" s="3"/>
      <c r="Q6" s="3"/>
      <c r="R6" s="3"/>
    </row>
    <row r="7" spans="2:18" ht="15">
      <c r="B7" s="7" t="s">
        <v>69</v>
      </c>
      <c r="C7" s="13"/>
      <c r="D7" s="10"/>
      <c r="E7" s="10"/>
      <c r="F7" s="10"/>
      <c r="G7" s="10"/>
      <c r="H7" s="13">
        <f>E7+F7-D7</f>
        <v>0</v>
      </c>
      <c r="I7" s="13"/>
      <c r="J7" s="13"/>
      <c r="K7" s="13"/>
      <c r="L7" s="13"/>
      <c r="M7" s="13"/>
      <c r="N7" s="3"/>
      <c r="O7" s="3"/>
      <c r="P7" s="3"/>
      <c r="Q7" s="3"/>
      <c r="R7" s="3"/>
    </row>
    <row r="8" spans="2:18" ht="15">
      <c r="B8" s="6" t="s">
        <v>80</v>
      </c>
      <c r="C8" s="10">
        <f aca="true" t="shared" si="0" ref="C8:M8">SUM(C5:C7)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>SUM(J5:J7)</f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3"/>
      <c r="O8" s="3"/>
      <c r="P8" s="3"/>
      <c r="Q8" s="3"/>
      <c r="R8" s="3"/>
    </row>
    <row r="9" spans="2:18" ht="1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18" ht="15">
      <c r="B10" s="6" t="s">
        <v>140</v>
      </c>
      <c r="C10" s="10">
        <v>6200</v>
      </c>
      <c r="D10" s="10">
        <f>E10+F10</f>
        <v>3321.1695827725434</v>
      </c>
      <c r="E10" s="10">
        <v>2203</v>
      </c>
      <c r="F10" s="10">
        <v>1118.1695827725437</v>
      </c>
      <c r="G10" s="10">
        <f>J10-F10-E10</f>
        <v>2878.8304172274566</v>
      </c>
      <c r="H10" s="10">
        <f>E10+F10-D10</f>
        <v>0</v>
      </c>
      <c r="I10" s="10">
        <v>440.592193808883</v>
      </c>
      <c r="J10" s="10">
        <v>6200</v>
      </c>
      <c r="K10" s="10">
        <f>J10*1.035</f>
        <v>6416.999999999999</v>
      </c>
      <c r="L10" s="10">
        <f>K10*1.03</f>
        <v>6609.509999999999</v>
      </c>
      <c r="M10" s="10">
        <f>L10*1.03</f>
        <v>6807.7953</v>
      </c>
      <c r="N10" s="3"/>
      <c r="O10" s="3"/>
      <c r="P10" s="3"/>
      <c r="Q10" s="3"/>
      <c r="R10" s="3"/>
    </row>
    <row r="11" spans="2:18" ht="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ht="15">
      <c r="B12" s="6" t="s">
        <v>70</v>
      </c>
      <c r="C12" s="10">
        <f aca="true" t="shared" si="1" ref="C12:M12">C10+C8</f>
        <v>6200</v>
      </c>
      <c r="D12" s="10">
        <f t="shared" si="1"/>
        <v>3321.1695827725434</v>
      </c>
      <c r="E12" s="10">
        <f t="shared" si="1"/>
        <v>2203</v>
      </c>
      <c r="F12" s="10">
        <f t="shared" si="1"/>
        <v>1118.1695827725437</v>
      </c>
      <c r="G12" s="10">
        <f t="shared" si="1"/>
        <v>2878.8304172274566</v>
      </c>
      <c r="H12" s="10">
        <f t="shared" si="1"/>
        <v>0</v>
      </c>
      <c r="I12" s="10">
        <f t="shared" si="1"/>
        <v>440.592193808883</v>
      </c>
      <c r="J12" s="10">
        <f>J10+J8</f>
        <v>6200</v>
      </c>
      <c r="K12" s="10">
        <f t="shared" si="1"/>
        <v>6416.999999999999</v>
      </c>
      <c r="L12" s="10">
        <f t="shared" si="1"/>
        <v>6609.509999999999</v>
      </c>
      <c r="M12" s="10">
        <f t="shared" si="1"/>
        <v>6807.7953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6" t="s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E14+F14+G14-D14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6" t="s">
        <v>73</v>
      </c>
      <c r="C16" s="10">
        <f aca="true" t="shared" si="2" ref="C16:M16">C12+C14</f>
        <v>6200</v>
      </c>
      <c r="D16" s="10">
        <f t="shared" si="2"/>
        <v>3321.1695827725434</v>
      </c>
      <c r="E16" s="10">
        <f t="shared" si="2"/>
        <v>2203</v>
      </c>
      <c r="F16" s="10">
        <f t="shared" si="2"/>
        <v>1118.1695827725437</v>
      </c>
      <c r="G16" s="10">
        <f t="shared" si="2"/>
        <v>2878.8304172274566</v>
      </c>
      <c r="H16" s="10">
        <f t="shared" si="2"/>
        <v>0</v>
      </c>
      <c r="I16" s="10">
        <f t="shared" si="2"/>
        <v>440.592193808883</v>
      </c>
      <c r="J16" s="10">
        <f>J12+J14</f>
        <v>6200</v>
      </c>
      <c r="K16" s="10">
        <f t="shared" si="2"/>
        <v>6416.999999999999</v>
      </c>
      <c r="L16" s="10">
        <f t="shared" si="2"/>
        <v>6609.509999999999</v>
      </c>
      <c r="M16" s="10">
        <f t="shared" si="2"/>
        <v>6807.7953</v>
      </c>
      <c r="N16" s="3"/>
      <c r="O16" s="3"/>
      <c r="P16" s="3"/>
      <c r="Q16" s="3"/>
      <c r="R16" s="3"/>
    </row>
    <row r="18" ht="15">
      <c r="B18" s="2"/>
    </row>
    <row r="20" ht="15">
      <c r="B20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18" sqref="B18:L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104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200</v>
      </c>
      <c r="D5" s="13">
        <v>70</v>
      </c>
      <c r="E5" s="13">
        <v>46</v>
      </c>
      <c r="F5" s="13">
        <v>46</v>
      </c>
      <c r="G5" s="13"/>
      <c r="H5" s="13">
        <f>E5+F5-D5</f>
        <v>22</v>
      </c>
      <c r="I5" s="13"/>
      <c r="J5" s="13">
        <v>280</v>
      </c>
      <c r="K5" s="13">
        <f aca="true" t="shared" si="0" ref="K5:M7">J5*1.03</f>
        <v>288.40000000000003</v>
      </c>
      <c r="L5" s="13">
        <f t="shared" si="0"/>
        <v>297.052</v>
      </c>
      <c r="M5" s="13">
        <f t="shared" si="0"/>
        <v>305.96356000000003</v>
      </c>
      <c r="N5" s="3"/>
      <c r="O5" s="3"/>
      <c r="P5" s="3"/>
      <c r="Q5" s="3"/>
      <c r="R5" s="3"/>
    </row>
    <row r="6" spans="2:18" ht="15">
      <c r="B6" s="7" t="s">
        <v>81</v>
      </c>
      <c r="C6" s="13">
        <v>400</v>
      </c>
      <c r="D6" s="13">
        <v>140</v>
      </c>
      <c r="E6" s="13">
        <v>80</v>
      </c>
      <c r="F6" s="13">
        <v>38</v>
      </c>
      <c r="G6" s="10"/>
      <c r="H6" s="13">
        <f>E6+F6-D6</f>
        <v>-22</v>
      </c>
      <c r="I6" s="13"/>
      <c r="J6" s="13">
        <v>400</v>
      </c>
      <c r="K6" s="13">
        <f t="shared" si="0"/>
        <v>412</v>
      </c>
      <c r="L6" s="13">
        <f t="shared" si="0"/>
        <v>424.36</v>
      </c>
      <c r="M6" s="13">
        <f t="shared" si="0"/>
        <v>437.0908</v>
      </c>
      <c r="N6" s="3"/>
      <c r="O6" s="3"/>
      <c r="P6" s="3"/>
      <c r="Q6" s="3"/>
      <c r="R6" s="3"/>
    </row>
    <row r="7" spans="2:18" ht="15">
      <c r="B7" s="7" t="s">
        <v>69</v>
      </c>
      <c r="C7" s="13">
        <v>100</v>
      </c>
      <c r="D7" s="13">
        <v>100</v>
      </c>
      <c r="E7" s="10"/>
      <c r="F7" s="10"/>
      <c r="G7" s="10"/>
      <c r="H7" s="13">
        <f>E7+F7-D7</f>
        <v>-100</v>
      </c>
      <c r="I7" s="13"/>
      <c r="J7" s="13"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3"/>
      <c r="O7" s="3"/>
      <c r="P7" s="3"/>
      <c r="Q7" s="3"/>
      <c r="R7" s="3"/>
    </row>
    <row r="8" spans="2:18" ht="15">
      <c r="B8" s="6" t="s">
        <v>80</v>
      </c>
      <c r="C8" s="10">
        <f aca="true" t="shared" si="1" ref="C8:M8">SUM(C5:C7)</f>
        <v>700</v>
      </c>
      <c r="D8" s="10">
        <f t="shared" si="1"/>
        <v>310</v>
      </c>
      <c r="E8" s="10">
        <f t="shared" si="1"/>
        <v>126</v>
      </c>
      <c r="F8" s="10">
        <f t="shared" si="1"/>
        <v>84</v>
      </c>
      <c r="G8" s="10">
        <f t="shared" si="1"/>
        <v>0</v>
      </c>
      <c r="H8" s="10">
        <f t="shared" si="1"/>
        <v>-100</v>
      </c>
      <c r="I8" s="10">
        <f t="shared" si="1"/>
        <v>0</v>
      </c>
      <c r="J8" s="10">
        <f>SUM(J5:J7)</f>
        <v>680</v>
      </c>
      <c r="K8" s="10">
        <f t="shared" si="1"/>
        <v>700.4000000000001</v>
      </c>
      <c r="L8" s="10">
        <f t="shared" si="1"/>
        <v>721.412</v>
      </c>
      <c r="M8" s="10">
        <f t="shared" si="1"/>
        <v>743.0543600000001</v>
      </c>
      <c r="N8" s="3"/>
      <c r="O8" s="3"/>
      <c r="P8" s="3"/>
      <c r="Q8" s="3"/>
      <c r="R8" s="3"/>
    </row>
    <row r="9" spans="2:18" ht="15">
      <c r="B9" s="8"/>
      <c r="C9" s="13"/>
      <c r="D9" s="10"/>
      <c r="E9" s="10"/>
      <c r="F9" s="10"/>
      <c r="G9" s="10"/>
      <c r="H9" s="13"/>
      <c r="I9" s="13"/>
      <c r="J9" s="13"/>
      <c r="K9" s="13"/>
      <c r="L9" s="13"/>
      <c r="M9" s="13"/>
      <c r="N9" s="3"/>
      <c r="O9" s="3"/>
      <c r="P9" s="3"/>
      <c r="Q9" s="3"/>
      <c r="R9" s="3"/>
    </row>
    <row r="10" spans="2:18" ht="15">
      <c r="B10" s="6" t="s">
        <v>140</v>
      </c>
      <c r="C10" s="10">
        <v>5800</v>
      </c>
      <c r="D10" s="10">
        <f>E10+F10</f>
        <v>3107.029609690444</v>
      </c>
      <c r="E10" s="10">
        <v>2061</v>
      </c>
      <c r="F10" s="10">
        <v>1046.029609690444</v>
      </c>
      <c r="G10" s="10">
        <f>J10-F10-E10</f>
        <v>2692.970390309556</v>
      </c>
      <c r="H10" s="10">
        <f>E10+F10-D10</f>
        <v>0</v>
      </c>
      <c r="I10" s="10">
        <v>412.16689098250333</v>
      </c>
      <c r="J10" s="10">
        <v>5800</v>
      </c>
      <c r="K10" s="10">
        <f>J10*1.035</f>
        <v>6002.999999999999</v>
      </c>
      <c r="L10" s="10">
        <f>K10*1.03</f>
        <v>6183.089999999999</v>
      </c>
      <c r="M10" s="10">
        <f>L10*1.03</f>
        <v>6368.582699999999</v>
      </c>
      <c r="N10" s="3"/>
      <c r="O10" s="3"/>
      <c r="P10" s="3"/>
      <c r="Q10" s="3"/>
      <c r="R10" s="3"/>
    </row>
    <row r="11" spans="2:18" ht="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ht="15">
      <c r="B12" s="6" t="s">
        <v>70</v>
      </c>
      <c r="C12" s="10">
        <f aca="true" t="shared" si="2" ref="C12:M12">C10+C8</f>
        <v>6500</v>
      </c>
      <c r="D12" s="10">
        <f t="shared" si="2"/>
        <v>3417.029609690444</v>
      </c>
      <c r="E12" s="10">
        <f t="shared" si="2"/>
        <v>2187</v>
      </c>
      <c r="F12" s="10">
        <f t="shared" si="2"/>
        <v>1130.029609690444</v>
      </c>
      <c r="G12" s="10">
        <f t="shared" si="2"/>
        <v>2692.970390309556</v>
      </c>
      <c r="H12" s="10">
        <f t="shared" si="2"/>
        <v>-100</v>
      </c>
      <c r="I12" s="10">
        <f t="shared" si="2"/>
        <v>412.16689098250333</v>
      </c>
      <c r="J12" s="10">
        <f>J10+J8</f>
        <v>6480</v>
      </c>
      <c r="K12" s="10">
        <f t="shared" si="2"/>
        <v>6703.4</v>
      </c>
      <c r="L12" s="10">
        <f t="shared" si="2"/>
        <v>6904.5019999999995</v>
      </c>
      <c r="M12" s="10">
        <f t="shared" si="2"/>
        <v>7111.637059999999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6" t="s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E14+F14+G14-D14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6" t="s">
        <v>73</v>
      </c>
      <c r="C16" s="10">
        <f aca="true" t="shared" si="3" ref="C16:M16">C12+C14</f>
        <v>6500</v>
      </c>
      <c r="D16" s="10">
        <f t="shared" si="3"/>
        <v>3417.029609690444</v>
      </c>
      <c r="E16" s="10">
        <f t="shared" si="3"/>
        <v>2187</v>
      </c>
      <c r="F16" s="10">
        <f t="shared" si="3"/>
        <v>1130.029609690444</v>
      </c>
      <c r="G16" s="10">
        <f t="shared" si="3"/>
        <v>2692.970390309556</v>
      </c>
      <c r="H16" s="10">
        <f t="shared" si="3"/>
        <v>-100</v>
      </c>
      <c r="I16" s="10">
        <f t="shared" si="3"/>
        <v>412.16689098250333</v>
      </c>
      <c r="J16" s="10">
        <f>J12+J14</f>
        <v>6480</v>
      </c>
      <c r="K16" s="10">
        <f t="shared" si="3"/>
        <v>6703.4</v>
      </c>
      <c r="L16" s="10">
        <f t="shared" si="3"/>
        <v>6904.5019999999995</v>
      </c>
      <c r="M16" s="10">
        <f t="shared" si="3"/>
        <v>7111.637059999999</v>
      </c>
      <c r="N16" s="3"/>
      <c r="O16" s="3"/>
      <c r="P16" s="3"/>
      <c r="Q16" s="3"/>
      <c r="R16" s="3"/>
    </row>
    <row r="18" ht="15">
      <c r="B18" s="2"/>
    </row>
    <row r="20" ht="15">
      <c r="B20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zoomScalePageLayoutView="0" workbookViewId="0" topLeftCell="A3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9" t="s">
        <v>159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ht="15">
      <c r="B4" s="6" t="s">
        <v>157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6" t="str">
        <f>Museum!B2</f>
        <v>Arts, Heritage, &amp; Museums - RNPSA Museum</v>
      </c>
      <c r="C5" s="10">
        <f>Museum!C10</f>
        <v>1500</v>
      </c>
      <c r="D5" s="10">
        <f>Museum!D10</f>
        <v>106</v>
      </c>
      <c r="E5" s="10">
        <f>Museum!E10</f>
        <v>181</v>
      </c>
      <c r="F5" s="10">
        <f>Museum!F10</f>
        <v>0</v>
      </c>
      <c r="G5" s="10">
        <f>Museum!G10</f>
        <v>0</v>
      </c>
      <c r="H5" s="10">
        <f>Museum!H10</f>
        <v>75</v>
      </c>
      <c r="I5" s="10">
        <f>Museum!I10</f>
        <v>0</v>
      </c>
      <c r="J5" s="10">
        <f>Museum!J10</f>
        <v>1950</v>
      </c>
      <c r="K5" s="10">
        <f>Museum!K10</f>
        <v>1996.5</v>
      </c>
      <c r="L5" s="10">
        <f>Museum!L10</f>
        <v>2044.395</v>
      </c>
      <c r="M5" s="10">
        <f>Museum!M10</f>
        <v>2093.72685</v>
      </c>
      <c r="N5" s="3"/>
      <c r="O5" s="3"/>
      <c r="P5" s="3"/>
      <c r="Q5" s="3"/>
      <c r="R5" s="3"/>
    </row>
    <row r="6" spans="2:18" ht="15">
      <c r="B6" s="6" t="str">
        <f>'Caravan Site'!B2</f>
        <v>Camping &amp; Caravan Site - Tingdene</v>
      </c>
      <c r="C6" s="10">
        <f>'Caravan Site'!C8</f>
        <v>1300</v>
      </c>
      <c r="D6" s="10">
        <f>'Caravan Site'!D8</f>
        <v>0</v>
      </c>
      <c r="E6" s="10">
        <f>'Caravan Site'!E8</f>
        <v>0</v>
      </c>
      <c r="F6" s="10">
        <f>'Caravan Site'!F8</f>
        <v>0</v>
      </c>
      <c r="G6" s="10">
        <f>'Caravan Site'!G8</f>
        <v>0</v>
      </c>
      <c r="H6" s="10">
        <f>'Caravan Site'!H8</f>
        <v>0</v>
      </c>
      <c r="I6" s="10">
        <f>'Caravan Site'!I8</f>
        <v>0</v>
      </c>
      <c r="J6" s="10">
        <f>'Caravan Site'!J8</f>
        <v>1300</v>
      </c>
      <c r="K6" s="10">
        <f>'Caravan Site'!K8</f>
        <v>1300</v>
      </c>
      <c r="L6" s="10">
        <f>'Caravan Site'!L8</f>
        <v>1300</v>
      </c>
      <c r="M6" s="10">
        <f>'Caravan Site'!M8</f>
        <v>1300</v>
      </c>
      <c r="N6" s="3"/>
      <c r="O6" s="3"/>
      <c r="P6" s="3"/>
      <c r="Q6" s="3"/>
      <c r="R6" s="3"/>
    </row>
    <row r="7" spans="2:18" ht="15">
      <c r="B7" s="6" t="str">
        <f>CCTV!B2</f>
        <v>CCTV</v>
      </c>
      <c r="C7" s="10">
        <f>CCTV!C13</f>
        <v>292400</v>
      </c>
      <c r="D7" s="10">
        <f>CCTV!D13</f>
        <v>138405.84791386273</v>
      </c>
      <c r="E7" s="10">
        <f>CCTV!E13</f>
        <v>90386</v>
      </c>
      <c r="F7" s="10">
        <f>CCTV!F13</f>
        <v>45910.847913862715</v>
      </c>
      <c r="G7" s="10">
        <f>CCTV!G13</f>
        <v>117894.15208613727</v>
      </c>
      <c r="H7" s="10">
        <f>CCTV!H13</f>
        <v>-2109</v>
      </c>
      <c r="I7" s="10">
        <f>CCTV!I13</f>
        <v>18042.960969044412</v>
      </c>
      <c r="J7" s="10">
        <f>CCTV!J13</f>
        <v>255245</v>
      </c>
      <c r="K7" s="10">
        <f>CCTV!K13</f>
        <v>264171.85</v>
      </c>
      <c r="L7" s="10">
        <f>CCTV!L13</f>
        <v>272097.0055</v>
      </c>
      <c r="M7" s="10">
        <f>CCTV!M13</f>
        <v>280259.91566500004</v>
      </c>
      <c r="N7" s="3"/>
      <c r="O7" s="3"/>
      <c r="P7" s="3"/>
      <c r="Q7" s="3"/>
      <c r="R7" s="3"/>
    </row>
    <row r="8" spans="2:18" ht="15">
      <c r="B8" s="6" t="str">
        <f>Events!B2</f>
        <v>Events</v>
      </c>
      <c r="C8" s="10">
        <f>Events!C11</f>
        <v>2900</v>
      </c>
      <c r="D8" s="10">
        <f>Events!D11</f>
        <v>120</v>
      </c>
      <c r="E8" s="10">
        <f>Events!E11</f>
        <v>120</v>
      </c>
      <c r="F8" s="10">
        <f>Events!F11</f>
        <v>0</v>
      </c>
      <c r="G8" s="10">
        <f>Events!G11</f>
        <v>0</v>
      </c>
      <c r="H8" s="10">
        <f>Events!H11</f>
        <v>0</v>
      </c>
      <c r="I8" s="10">
        <f>Events!I11</f>
        <v>0</v>
      </c>
      <c r="J8" s="10">
        <f>Events!J11</f>
        <v>2900</v>
      </c>
      <c r="K8" s="10">
        <f>Events!K11</f>
        <v>2933</v>
      </c>
      <c r="L8" s="10">
        <f>Events!L11</f>
        <v>2966.99</v>
      </c>
      <c r="M8" s="10">
        <f>Events!M11</f>
        <v>3001.9997000000003</v>
      </c>
      <c r="N8" s="3"/>
      <c r="O8" s="3"/>
      <c r="P8" s="3"/>
      <c r="Q8" s="3"/>
      <c r="R8" s="3"/>
    </row>
    <row r="9" spans="2:18" ht="15">
      <c r="B9" s="6" t="str">
        <f>'Marina Theatre'!B2</f>
        <v>Marina Theatre</v>
      </c>
      <c r="C9" s="10">
        <f>'Marina Theatre'!C13</f>
        <v>159100</v>
      </c>
      <c r="D9" s="10">
        <f>'Marina Theatre'!D13</f>
        <v>154207</v>
      </c>
      <c r="E9" s="10">
        <f>'Marina Theatre'!E13</f>
        <v>207</v>
      </c>
      <c r="F9" s="10">
        <f>'Marina Theatre'!F13</f>
        <v>150000</v>
      </c>
      <c r="G9" s="10">
        <f>'Marina Theatre'!G13</f>
        <v>0</v>
      </c>
      <c r="H9" s="10">
        <f>'Marina Theatre'!H13</f>
        <v>-4000</v>
      </c>
      <c r="I9" s="10">
        <f>'Marina Theatre'!I13</f>
        <v>0</v>
      </c>
      <c r="J9" s="10">
        <f>'Marina Theatre'!J13</f>
        <v>155100</v>
      </c>
      <c r="K9" s="10">
        <f>'Marina Theatre'!K13</f>
        <v>160000</v>
      </c>
      <c r="L9" s="10">
        <f>'Marina Theatre'!L13</f>
        <v>160000</v>
      </c>
      <c r="M9" s="10">
        <f>'Marina Theatre'!M13</f>
        <v>160000</v>
      </c>
      <c r="N9" s="3"/>
      <c r="O9" s="3"/>
      <c r="P9" s="3"/>
      <c r="Q9" s="3"/>
      <c r="R9" s="3"/>
    </row>
    <row r="10" spans="2:18" ht="15">
      <c r="B10" s="6" t="str">
        <f>'Open Spaces'!B2</f>
        <v>Allotments and Open Spaces</v>
      </c>
      <c r="C10" s="10">
        <f>'Open Spaces'!C15</f>
        <v>7200</v>
      </c>
      <c r="D10" s="10">
        <f>'Open Spaces'!D15</f>
        <v>4274.697173620458</v>
      </c>
      <c r="E10" s="10">
        <f>'Open Spaces'!E15</f>
        <v>3138.4925975773895</v>
      </c>
      <c r="F10" s="10">
        <f>'Open Spaces'!F15</f>
        <v>1136.2045760430685</v>
      </c>
      <c r="G10" s="10">
        <f>'Open Spaces'!G15</f>
        <v>2925.3028263795422</v>
      </c>
      <c r="H10" s="10">
        <f>'Open Spaces'!H15</f>
        <v>0</v>
      </c>
      <c r="I10" s="10">
        <f>'Open Spaces'!I15</f>
        <v>447.69851951547776</v>
      </c>
      <c r="J10" s="10">
        <f>'Open Spaces'!J15</f>
        <v>7200</v>
      </c>
      <c r="K10" s="10">
        <f>'Open Spaces'!K15</f>
        <v>7420.5</v>
      </c>
      <c r="L10" s="10">
        <f>'Open Spaces'!L15</f>
        <v>7616.115</v>
      </c>
      <c r="M10" s="10">
        <f>'Open Spaces'!M15</f>
        <v>7817.59845</v>
      </c>
      <c r="N10" s="3"/>
      <c r="O10" s="3"/>
      <c r="P10" s="3"/>
      <c r="Q10" s="3"/>
      <c r="R10" s="3"/>
    </row>
    <row r="11" spans="2:18" ht="15">
      <c r="B11" s="6" t="str">
        <f>'Sparrows Nest'!B2</f>
        <v>Sparrows Nest Park &amp; Sports Ground</v>
      </c>
      <c r="C11" s="10">
        <f>'Sparrows Nest'!C17</f>
        <v>131500</v>
      </c>
      <c r="D11" s="10">
        <f>'Sparrows Nest'!D17</f>
        <v>50253.562584118445</v>
      </c>
      <c r="E11" s="10">
        <f>'Sparrows Nest'!E17</f>
        <v>45503.802153432036</v>
      </c>
      <c r="F11" s="10">
        <f>'Sparrows Nest'!F17</f>
        <v>22969.37685060565</v>
      </c>
      <c r="G11" s="10">
        <f>'Sparrows Nest'!G17</f>
        <v>18530.820995962316</v>
      </c>
      <c r="H11" s="10">
        <f>'Sparrows Nest'!H17</f>
        <v>18219.616419919243</v>
      </c>
      <c r="I11" s="10">
        <f>'Sparrows Nest'!I17</f>
        <v>8605.760430686407</v>
      </c>
      <c r="J11" s="10">
        <f>'Sparrows Nest'!J17</f>
        <v>129745</v>
      </c>
      <c r="K11" s="10">
        <f>'Sparrows Nest'!K17</f>
        <v>132947.6</v>
      </c>
      <c r="L11" s="10">
        <f>'Sparrows Nest'!L17</f>
        <v>135802.628</v>
      </c>
      <c r="M11" s="10">
        <f>'Sparrows Nest'!M17</f>
        <v>138752.40684</v>
      </c>
      <c r="N11" s="3"/>
      <c r="O11" s="3"/>
      <c r="P11" s="3"/>
      <c r="Q11" s="3"/>
      <c r="R11" s="3"/>
    </row>
    <row r="12" spans="2:18" ht="15">
      <c r="B12" s="6" t="str">
        <f>'Belle Vue'!B2</f>
        <v>Belle Vue Park </v>
      </c>
      <c r="C12" s="10">
        <f>'Belle Vue'!C11</f>
        <v>16100</v>
      </c>
      <c r="D12" s="10">
        <f>'Belle Vue'!D11</f>
        <v>8570.598923283984</v>
      </c>
      <c r="E12" s="10">
        <f>'Belle Vue'!E11</f>
        <v>5685</v>
      </c>
      <c r="F12" s="10">
        <f>'Belle Vue'!F11</f>
        <v>2885.598923283984</v>
      </c>
      <c r="G12" s="10">
        <f>'Belle Vue'!G11</f>
        <v>7429.401076716016</v>
      </c>
      <c r="H12" s="10">
        <f>'Belle Vue'!H11</f>
        <v>0</v>
      </c>
      <c r="I12" s="10">
        <f>'Belle Vue'!I11</f>
        <v>1137.0121130551818</v>
      </c>
      <c r="J12" s="10">
        <f>'Belle Vue'!J11</f>
        <v>16100</v>
      </c>
      <c r="K12" s="10">
        <f>'Belle Vue'!K11</f>
        <v>16663</v>
      </c>
      <c r="L12" s="10">
        <f>'Belle Vue'!L11</f>
        <v>17162.89</v>
      </c>
      <c r="M12" s="10">
        <f>'Belle Vue'!M11</f>
        <v>17677.776700000002</v>
      </c>
      <c r="N12" s="3"/>
      <c r="O12" s="3"/>
      <c r="P12" s="3"/>
      <c r="Q12" s="3"/>
      <c r="R12" s="3"/>
    </row>
    <row r="13" spans="2:18" ht="15">
      <c r="B13" s="6" t="str">
        <f>'Kensington Gdns'!B2</f>
        <v>Kensington Gardens Park, Lake, &amp; Sports Ground </v>
      </c>
      <c r="C13" s="10">
        <f>'Kensington Gdns'!C14</f>
        <v>94900</v>
      </c>
      <c r="D13" s="10">
        <f>'Kensington Gdns'!D14</f>
        <v>49273.10901749664</v>
      </c>
      <c r="E13" s="10">
        <f>'Kensington Gdns'!E14</f>
        <v>32024</v>
      </c>
      <c r="F13" s="10">
        <f>'Kensington Gdns'!F14</f>
        <v>17254.109017496638</v>
      </c>
      <c r="G13" s="10">
        <f>'Kensington Gdns'!G14</f>
        <v>41278.89098250336</v>
      </c>
      <c r="H13" s="10">
        <f>'Kensington Gdns'!H14</f>
        <v>5</v>
      </c>
      <c r="I13" s="10">
        <f>'Kensington Gdns'!I14</f>
        <v>6317.523553162853</v>
      </c>
      <c r="J13" s="10">
        <f>'Kensington Gdns'!J14</f>
        <v>94905</v>
      </c>
      <c r="K13" s="10">
        <f>'Kensington Gdns'!K14</f>
        <v>98196.65</v>
      </c>
      <c r="L13" s="10">
        <f>'Kensington Gdns'!L14</f>
        <v>101142.5495</v>
      </c>
      <c r="M13" s="10">
        <f>'Kensington Gdns'!M14</f>
        <v>104176.825985</v>
      </c>
      <c r="N13" s="3"/>
      <c r="O13" s="3"/>
      <c r="P13" s="3"/>
      <c r="Q13" s="3"/>
      <c r="R13" s="3"/>
    </row>
    <row r="14" spans="2:18" ht="15">
      <c r="B14" s="6" t="str">
        <f>'Play Areas'!B2</f>
        <v>Play Areas</v>
      </c>
      <c r="C14" s="10">
        <f>'Play Areas'!C29</f>
        <v>39300</v>
      </c>
      <c r="D14" s="10">
        <f>'Play Areas'!D29</f>
        <v>18505.518169582767</v>
      </c>
      <c r="E14" s="10">
        <f>'Play Areas'!E29</f>
        <v>12009.690444145352</v>
      </c>
      <c r="F14" s="10">
        <f>'Play Areas'!F29</f>
        <v>6095.827725437418</v>
      </c>
      <c r="G14" s="10">
        <f>'Play Areas'!G29</f>
        <v>0</v>
      </c>
      <c r="H14" s="10">
        <f>'Play Areas'!H29</f>
        <v>-400</v>
      </c>
      <c r="I14" s="10">
        <f>'Play Areas'!I29</f>
        <v>0</v>
      </c>
      <c r="J14" s="10">
        <f>'Play Areas'!J29</f>
        <v>38000</v>
      </c>
      <c r="K14" s="10">
        <f>'Play Areas'!K29</f>
        <v>89309</v>
      </c>
      <c r="L14" s="10">
        <f>'Play Areas'!L29</f>
        <v>90488.27</v>
      </c>
      <c r="M14" s="10">
        <f>'Play Areas'!M29</f>
        <v>91702.91810000001</v>
      </c>
      <c r="N14" s="3"/>
      <c r="O14" s="3"/>
      <c r="P14" s="3"/>
      <c r="Q14" s="3"/>
      <c r="R14" s="3"/>
    </row>
    <row r="15" spans="2:18" ht="15">
      <c r="B15" s="6" t="str">
        <f>'Denes Oval'!B2</f>
        <v>Denes Oval</v>
      </c>
      <c r="C15" s="10">
        <f>'Denes Oval'!C14</f>
        <v>85900</v>
      </c>
      <c r="D15" s="10">
        <f>'Denes Oval'!D14</f>
        <v>45807.009421265146</v>
      </c>
      <c r="E15" s="10">
        <f>'Denes Oval'!E14</f>
        <v>30633</v>
      </c>
      <c r="F15" s="10">
        <f>'Denes Oval'!F14</f>
        <v>15234.009421265142</v>
      </c>
      <c r="G15" s="10">
        <f>'Denes Oval'!G14</f>
        <v>38492.990578734854</v>
      </c>
      <c r="H15" s="10">
        <f>'Denes Oval'!H14</f>
        <v>60</v>
      </c>
      <c r="I15" s="10">
        <f>'Denes Oval'!I14</f>
        <v>5891.144010767159</v>
      </c>
      <c r="J15" s="10">
        <f>'Denes Oval'!J14</f>
        <v>85995</v>
      </c>
      <c r="K15" s="10">
        <f>'Denes Oval'!K14</f>
        <v>88989.35</v>
      </c>
      <c r="L15" s="10">
        <f>'Denes Oval'!L14</f>
        <v>91659.0305</v>
      </c>
      <c r="M15" s="10">
        <f>'Denes Oval'!M14</f>
        <v>94408.80141500001</v>
      </c>
      <c r="N15" s="3"/>
      <c r="O15" s="3"/>
      <c r="P15" s="3"/>
      <c r="Q15" s="3"/>
      <c r="R15" s="3"/>
    </row>
    <row r="16" spans="2:18" ht="15">
      <c r="B16" s="6" t="str">
        <f>'Normanston Park'!B2</f>
        <v>Normanston Park</v>
      </c>
      <c r="C16" s="10">
        <f>'Normanston Park'!C12</f>
        <v>96700</v>
      </c>
      <c r="D16" s="10">
        <f>'Normanston Park'!D12</f>
        <v>51035.948855989234</v>
      </c>
      <c r="E16" s="10">
        <f>'Normanston Park'!E12</f>
        <v>32890</v>
      </c>
      <c r="F16" s="10">
        <f>'Normanston Park'!F12</f>
        <v>16658.948855989234</v>
      </c>
      <c r="G16" s="10">
        <f>'Normanston Park'!G12</f>
        <v>42394.051144010766</v>
      </c>
      <c r="H16" s="10">
        <f>'Normanston Park'!H12</f>
        <v>-1487</v>
      </c>
      <c r="I16" s="10">
        <f>'Normanston Park'!I12</f>
        <v>6488.075370121131</v>
      </c>
      <c r="J16" s="10">
        <f>'Normanston Park'!J12</f>
        <v>96200</v>
      </c>
      <c r="K16" s="10">
        <f>'Normanston Park'!K12</f>
        <v>99542.49999999999</v>
      </c>
      <c r="L16" s="10">
        <f>'Normanston Park'!L12</f>
        <v>102528.775</v>
      </c>
      <c r="M16" s="10">
        <f>'Normanston Park'!M12</f>
        <v>105604.63824999999</v>
      </c>
      <c r="N16" s="3"/>
      <c r="O16" s="3"/>
      <c r="P16" s="3"/>
      <c r="Q16" s="3"/>
      <c r="R16" s="3"/>
    </row>
    <row r="17" spans="2:18" ht="15">
      <c r="B17" s="18" t="str">
        <f>'Pakefield St PC'!B2</f>
        <v>Pakefield Street Public Convenience</v>
      </c>
      <c r="C17" s="10">
        <f>'Pakefield St PC'!C12</f>
        <v>7800</v>
      </c>
      <c r="D17" s="10">
        <f>'Pakefield St PC'!D12</f>
        <v>4507.029609690444</v>
      </c>
      <c r="E17" s="10">
        <f>'Pakefield St PC'!E12</f>
        <v>3464</v>
      </c>
      <c r="F17" s="10">
        <f>'Pakefield St PC'!F12</f>
        <v>1207.029609690444</v>
      </c>
      <c r="G17" s="10">
        <f>'Pakefield St PC'!G12</f>
        <v>2692.970390309556</v>
      </c>
      <c r="H17" s="10">
        <f>'Pakefield St PC'!H12</f>
        <v>164</v>
      </c>
      <c r="I17" s="10">
        <f>'Pakefield St PC'!I12</f>
        <v>412.16689098250333</v>
      </c>
      <c r="J17" s="10">
        <f>'Pakefield St PC'!J12</f>
        <v>7942</v>
      </c>
      <c r="K17" s="10">
        <f>'Pakefield St PC'!K12</f>
        <v>8303</v>
      </c>
      <c r="L17" s="10">
        <f>'Pakefield St PC'!L12</f>
        <v>8553.99</v>
      </c>
      <c r="M17" s="10">
        <f>'Pakefield St PC'!M12</f>
        <v>8811.309699999998</v>
      </c>
      <c r="N17" s="10">
        <f>'Pakefield St PC'!N12</f>
        <v>0</v>
      </c>
      <c r="O17" s="10">
        <f>'Pakefield St PC'!O12</f>
        <v>0</v>
      </c>
      <c r="P17" s="10">
        <f>'Pakefield St PC'!P12</f>
        <v>0</v>
      </c>
      <c r="Q17" s="3"/>
      <c r="R17" s="3"/>
    </row>
    <row r="18" spans="2:18" ht="15">
      <c r="B18" s="6" t="str">
        <f>'The Triangle PC'!B2</f>
        <v>The Triangle Public Convenience</v>
      </c>
      <c r="C18" s="10">
        <f>'The Triangle PC'!C11</f>
        <v>9500</v>
      </c>
      <c r="D18" s="10">
        <f>'The Triangle PC'!D11</f>
        <v>5235.309555854643</v>
      </c>
      <c r="E18" s="10">
        <f>'The Triangle PC'!E11</f>
        <v>3440</v>
      </c>
      <c r="F18" s="10">
        <f>'The Triangle PC'!F11</f>
        <v>1190.3095558546433</v>
      </c>
      <c r="G18" s="10">
        <f>'The Triangle PC'!G11</f>
        <v>3064.690444145357</v>
      </c>
      <c r="H18" s="10">
        <f>'The Triangle PC'!H11</f>
        <v>-605</v>
      </c>
      <c r="I18" s="10">
        <f>'The Triangle PC'!I11</f>
        <v>469.0174966352624</v>
      </c>
      <c r="J18" s="10">
        <f>'The Triangle PC'!J11</f>
        <v>9495</v>
      </c>
      <c r="K18" s="10">
        <f>'The Triangle PC'!K11</f>
        <v>9975</v>
      </c>
      <c r="L18" s="10">
        <f>'The Triangle PC'!L11</f>
        <v>10265.55</v>
      </c>
      <c r="M18" s="10">
        <f>'The Triangle PC'!M11</f>
        <v>10573.9165</v>
      </c>
      <c r="N18" s="3"/>
      <c r="O18" s="3"/>
      <c r="P18" s="3"/>
      <c r="Q18" s="3"/>
      <c r="R18" s="3"/>
    </row>
    <row r="19" spans="2:18" ht="15">
      <c r="B19" s="6" t="str">
        <f>'Kn Gdns PC'!B2</f>
        <v>Kensington Gardens Public Convenience</v>
      </c>
      <c r="C19" s="10">
        <f>'Kn Gdns PC'!C13</f>
        <v>21800</v>
      </c>
      <c r="D19" s="10">
        <f>'Kn Gdns PC'!D13</f>
        <v>12542.578734858682</v>
      </c>
      <c r="E19" s="10">
        <f>'Kn Gdns PC'!E13</f>
        <v>8709</v>
      </c>
      <c r="F19" s="10">
        <f>'Kn Gdns PC'!F13</f>
        <v>3458.578734858681</v>
      </c>
      <c r="G19" s="10">
        <f>'Kn Gdns PC'!G13</f>
        <v>8729.421265141318</v>
      </c>
      <c r="H19" s="10">
        <f>'Kn Gdns PC'!H13</f>
        <v>-375</v>
      </c>
      <c r="I19" s="10">
        <f>'Kn Gdns PC'!I13</f>
        <v>1335.9892328398385</v>
      </c>
      <c r="J19" s="10">
        <f>'Kn Gdns PC'!J13</f>
        <v>22117</v>
      </c>
      <c r="K19" s="10">
        <f>'Kn Gdns PC'!K13</f>
        <v>23118.8</v>
      </c>
      <c r="L19" s="10">
        <f>'Kn Gdns PC'!L13</f>
        <v>23814.564000000002</v>
      </c>
      <c r="M19" s="10">
        <f>'Kn Gdns PC'!M13</f>
        <v>24529.10092</v>
      </c>
      <c r="N19" s="3"/>
      <c r="O19" s="3"/>
      <c r="P19" s="3"/>
      <c r="Q19" s="3"/>
      <c r="R19" s="3"/>
    </row>
    <row r="20" spans="2:18" ht="15">
      <c r="B20" s="6" t="str">
        <f>'Kirkley Cliff Rd PC'!B2</f>
        <v>Kirkley Cliff Road Public Convenience</v>
      </c>
      <c r="C20" s="10">
        <f>'Kirkley Cliff Rd PC'!C12</f>
        <v>6200</v>
      </c>
      <c r="D20" s="10">
        <f>'Kirkley Cliff Rd PC'!D12</f>
        <v>3321.1695827725434</v>
      </c>
      <c r="E20" s="10">
        <f>'Kirkley Cliff Rd PC'!E12</f>
        <v>2203</v>
      </c>
      <c r="F20" s="10">
        <f>'Kirkley Cliff Rd PC'!F12</f>
        <v>1118.1695827725437</v>
      </c>
      <c r="G20" s="10">
        <f>'Kirkley Cliff Rd PC'!G12</f>
        <v>2878.8304172274566</v>
      </c>
      <c r="H20" s="10">
        <f>'Kirkley Cliff Rd PC'!H12</f>
        <v>0</v>
      </c>
      <c r="I20" s="10">
        <f>'Kirkley Cliff Rd PC'!I12</f>
        <v>440.592193808883</v>
      </c>
      <c r="J20" s="10">
        <f>'Kirkley Cliff Rd PC'!J12</f>
        <v>6200</v>
      </c>
      <c r="K20" s="10">
        <f>'Kirkley Cliff Rd PC'!K12</f>
        <v>6416.999999999999</v>
      </c>
      <c r="L20" s="10">
        <f>'Kirkley Cliff Rd PC'!L12</f>
        <v>6609.509999999999</v>
      </c>
      <c r="M20" s="10">
        <f>'Kirkley Cliff Rd PC'!M12</f>
        <v>6807.7953</v>
      </c>
      <c r="N20" s="3"/>
      <c r="O20" s="3"/>
      <c r="P20" s="3"/>
      <c r="Q20" s="3"/>
      <c r="R20" s="3"/>
    </row>
    <row r="21" spans="2:18" ht="15">
      <c r="B21" s="6" t="str">
        <f>'Low Cemetery PC'!B2</f>
        <v>Lowestoft Cemetery Public Convenience</v>
      </c>
      <c r="C21" s="10">
        <f>'Low Cemetery PC'!C12</f>
        <v>6500</v>
      </c>
      <c r="D21" s="10">
        <f>'Low Cemetery PC'!D12</f>
        <v>3417.029609690444</v>
      </c>
      <c r="E21" s="10">
        <f>'Low Cemetery PC'!E12</f>
        <v>2187</v>
      </c>
      <c r="F21" s="10">
        <f>'Low Cemetery PC'!F12</f>
        <v>1130.029609690444</v>
      </c>
      <c r="G21" s="10">
        <f>'Low Cemetery PC'!G12</f>
        <v>2692.970390309556</v>
      </c>
      <c r="H21" s="10">
        <f>'Low Cemetery PC'!H12</f>
        <v>-100</v>
      </c>
      <c r="I21" s="10">
        <f>'Low Cemetery PC'!I12</f>
        <v>412.16689098250333</v>
      </c>
      <c r="J21" s="10">
        <f>'Low Cemetery PC'!J12</f>
        <v>6480</v>
      </c>
      <c r="K21" s="10">
        <f>'Low Cemetery PC'!K12</f>
        <v>6703.4</v>
      </c>
      <c r="L21" s="10">
        <f>'Low Cemetery PC'!L12</f>
        <v>6904.5019999999995</v>
      </c>
      <c r="M21" s="10">
        <f>'Low Cemetery PC'!M12</f>
        <v>7111.637059999999</v>
      </c>
      <c r="N21" s="3"/>
      <c r="O21" s="3"/>
      <c r="P21" s="3"/>
      <c r="Q21" s="3"/>
      <c r="R21" s="3"/>
    </row>
    <row r="22" spans="2:18" ht="15">
      <c r="B22" s="6" t="str">
        <f>Miscellaneous!B2</f>
        <v>Miscellaneous &amp; Reserve Contributions</v>
      </c>
      <c r="C22" s="10">
        <f>Miscellaneous!C15</f>
        <v>28600</v>
      </c>
      <c r="D22" s="10">
        <f>Miscellaneous!D15</f>
        <v>2999.7308209959624</v>
      </c>
      <c r="E22" s="10">
        <f>Miscellaneous!E15</f>
        <v>1989.771197846568</v>
      </c>
      <c r="F22" s="10">
        <f>Miscellaneous!F15</f>
        <v>1009.9596231493944</v>
      </c>
      <c r="G22" s="10">
        <f>Miscellaneous!G15</f>
        <v>2600.2691790040376</v>
      </c>
      <c r="H22" s="10">
        <f>Miscellaneous!H15</f>
        <v>0</v>
      </c>
      <c r="I22" s="10">
        <f>Miscellaneous!I15</f>
        <v>397.9542395693136</v>
      </c>
      <c r="J22" s="10">
        <f>Miscellaneous!J15</f>
        <v>28600</v>
      </c>
      <c r="K22" s="10">
        <f>Miscellaneous!K15</f>
        <v>28768</v>
      </c>
      <c r="L22" s="10">
        <f>Miscellaneous!L15</f>
        <v>28941.04</v>
      </c>
      <c r="M22" s="10">
        <f>Miscellaneous!M15</f>
        <v>29119.2712</v>
      </c>
      <c r="N22" s="3"/>
      <c r="O22" s="3"/>
      <c r="P22" s="3"/>
      <c r="Q22" s="3"/>
      <c r="R22" s="3"/>
    </row>
    <row r="23" spans="2:18" ht="15">
      <c r="B23" s="6" t="str">
        <f>'Town Hall'!B2</f>
        <v>Town Hall</v>
      </c>
      <c r="C23" s="10">
        <f>'Town Hall'!C23</f>
        <v>86120</v>
      </c>
      <c r="D23" s="10">
        <f>'Town Hall'!D23</f>
        <v>16430</v>
      </c>
      <c r="E23" s="10">
        <f>'Town Hall'!E23</f>
        <v>2519</v>
      </c>
      <c r="F23" s="10">
        <f>'Town Hall'!F23</f>
        <v>2324</v>
      </c>
      <c r="G23" s="10">
        <f>'Town Hall'!G23</f>
        <v>0</v>
      </c>
      <c r="H23" s="10">
        <f>'Town Hall'!H23</f>
        <v>-11587</v>
      </c>
      <c r="I23" s="10">
        <f>'Town Hall'!I23</f>
        <v>0</v>
      </c>
      <c r="J23" s="10">
        <f>'Town Hall'!J23</f>
        <v>18330</v>
      </c>
      <c r="K23" s="10">
        <f>'Town Hall'!K23</f>
        <v>64775.9</v>
      </c>
      <c r="L23" s="10">
        <f>'Town Hall'!L23</f>
        <v>66719.177</v>
      </c>
      <c r="M23" s="10">
        <f>'Town Hall'!M23</f>
        <v>68720.75231</v>
      </c>
      <c r="N23" s="3"/>
      <c r="O23" s="3"/>
      <c r="P23" s="3"/>
      <c r="Q23" s="3"/>
      <c r="R23" s="3"/>
    </row>
    <row r="24" spans="2:18" ht="15">
      <c r="B24" s="6" t="str">
        <f>Administration!B2</f>
        <v>Administration</v>
      </c>
      <c r="C24" s="10">
        <f>Administration!C47</f>
        <v>455260</v>
      </c>
      <c r="D24" s="10">
        <f>Administration!D47</f>
        <v>199960</v>
      </c>
      <c r="E24" s="10">
        <f>Administration!E47</f>
        <v>49442</v>
      </c>
      <c r="F24" s="10">
        <f>Administration!F47</f>
        <v>0</v>
      </c>
      <c r="G24" s="10">
        <f>Administration!G47</f>
        <v>0</v>
      </c>
      <c r="H24" s="10">
        <f>Administration!H47</f>
        <v>-150518</v>
      </c>
      <c r="I24" s="10">
        <f>Administration!I47</f>
        <v>4595</v>
      </c>
      <c r="J24" s="10">
        <f>Administration!J47</f>
        <v>220497.5</v>
      </c>
      <c r="K24" s="10">
        <f>Administration!K47</f>
        <v>463681.8</v>
      </c>
      <c r="L24" s="10">
        <f>Administration!L47</f>
        <v>464510.754</v>
      </c>
      <c r="M24" s="10">
        <f>Administration!M47</f>
        <v>465364.57662</v>
      </c>
      <c r="N24" s="3"/>
      <c r="O24" s="3"/>
      <c r="P24" s="3"/>
      <c r="Q24" s="3"/>
      <c r="R24" s="3"/>
    </row>
    <row r="25" spans="2:18" ht="15">
      <c r="B25" s="6"/>
      <c r="C25" s="13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3"/>
      <c r="O25" s="3"/>
      <c r="P25" s="3"/>
      <c r="Q25" s="3"/>
      <c r="R25" s="3"/>
    </row>
    <row r="26" spans="2:18" ht="15">
      <c r="B26" s="6" t="s">
        <v>70</v>
      </c>
      <c r="C26" s="10">
        <f>SUM(C4:C25)</f>
        <v>1550580</v>
      </c>
      <c r="D26" s="10">
        <f aca="true" t="shared" si="0" ref="D26:M26">SUM(D4:D25)</f>
        <v>768972.1399730821</v>
      </c>
      <c r="E26" s="10">
        <f t="shared" si="0"/>
        <v>326731.75639300136</v>
      </c>
      <c r="F26" s="10">
        <f t="shared" si="0"/>
        <v>289582.99999999994</v>
      </c>
      <c r="G26" s="10">
        <f t="shared" si="0"/>
        <v>291604.7617765814</v>
      </c>
      <c r="H26" s="10">
        <f t="shared" si="0"/>
        <v>-152657.38358008076</v>
      </c>
      <c r="I26" s="10">
        <f t="shared" si="0"/>
        <v>54993.061911170924</v>
      </c>
      <c r="J26" s="10">
        <f>SUM(J4:J25)</f>
        <v>1204301.5</v>
      </c>
      <c r="K26" s="10">
        <f t="shared" si="0"/>
        <v>1575212.85</v>
      </c>
      <c r="L26" s="10">
        <f t="shared" si="0"/>
        <v>1601127.7355</v>
      </c>
      <c r="M26" s="10">
        <f t="shared" si="0"/>
        <v>1627834.9675650003</v>
      </c>
      <c r="N26" s="3"/>
      <c r="O26" s="3"/>
      <c r="P26" s="3"/>
      <c r="Q26" s="3"/>
      <c r="R26" s="3"/>
    </row>
    <row r="27" spans="2:13" ht="15">
      <c r="B27" s="5"/>
      <c r="C27" s="5"/>
      <c r="D27" s="39"/>
      <c r="E27" s="5"/>
      <c r="F27" s="5"/>
      <c r="G27" s="5"/>
      <c r="H27" s="5"/>
      <c r="I27" s="5"/>
      <c r="J27" s="5"/>
      <c r="K27" s="5"/>
      <c r="L27" s="5"/>
      <c r="M27" s="5"/>
    </row>
    <row r="28" spans="2:13" ht="15">
      <c r="B28" s="6" t="s">
        <v>158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>
      <c r="B29" s="6" t="s">
        <v>74</v>
      </c>
      <c r="C29" s="34">
        <f>Museum!C12</f>
        <v>0</v>
      </c>
      <c r="D29" s="34">
        <f>Museum!D12</f>
        <v>0</v>
      </c>
      <c r="E29" s="34">
        <f>Museum!E12</f>
        <v>0</v>
      </c>
      <c r="F29" s="34">
        <f>Museum!F12</f>
        <v>0</v>
      </c>
      <c r="G29" s="34">
        <f>Museum!G12</f>
        <v>0</v>
      </c>
      <c r="H29" s="34">
        <f>Museum!H12</f>
        <v>0</v>
      </c>
      <c r="I29" s="34">
        <f>Museum!I12</f>
        <v>0</v>
      </c>
      <c r="J29" s="34">
        <f>Museum!J12</f>
        <v>0</v>
      </c>
      <c r="K29" s="34">
        <f>Museum!K12</f>
        <v>0</v>
      </c>
      <c r="L29" s="34">
        <f>Museum!L12</f>
        <v>0</v>
      </c>
      <c r="M29" s="34">
        <f>Museum!M12</f>
        <v>0</v>
      </c>
    </row>
    <row r="30" spans="2:13" ht="15">
      <c r="B30" s="6" t="s">
        <v>57</v>
      </c>
      <c r="C30" s="34">
        <f>'Caravan Site'!C11</f>
        <v>-80000</v>
      </c>
      <c r="D30" s="34">
        <f>'Caravan Site'!D11</f>
        <v>0</v>
      </c>
      <c r="E30" s="34">
        <f>'Caravan Site'!E11</f>
        <v>0</v>
      </c>
      <c r="F30" s="34">
        <f>'Caravan Site'!F11</f>
        <v>0</v>
      </c>
      <c r="G30" s="34">
        <f>'Caravan Site'!G11</f>
        <v>0</v>
      </c>
      <c r="H30" s="34">
        <f>'Caravan Site'!H11</f>
        <v>0</v>
      </c>
      <c r="I30" s="34">
        <f>'Caravan Site'!I11</f>
        <v>0</v>
      </c>
      <c r="J30" s="34">
        <f>'Caravan Site'!J11</f>
        <v>-80000</v>
      </c>
      <c r="K30" s="34">
        <f>'Caravan Site'!K11</f>
        <v>-80000</v>
      </c>
      <c r="L30" s="34">
        <f>'Caravan Site'!L11</f>
        <v>-80000</v>
      </c>
      <c r="M30" s="34">
        <f>'Caravan Site'!M11</f>
        <v>-80000</v>
      </c>
    </row>
    <row r="31" spans="2:13" ht="15">
      <c r="B31" s="6" t="s">
        <v>34</v>
      </c>
      <c r="C31" s="34">
        <f>CCTV!C15</f>
        <v>0</v>
      </c>
      <c r="D31" s="34">
        <f>CCTV!D15</f>
        <v>0</v>
      </c>
      <c r="E31" s="34">
        <f>CCTV!E15</f>
        <v>0</v>
      </c>
      <c r="F31" s="34">
        <f>CCTV!F15</f>
        <v>0</v>
      </c>
      <c r="G31" s="34">
        <f>CCTV!G15</f>
        <v>0</v>
      </c>
      <c r="H31" s="34">
        <f>CCTV!H15</f>
        <v>0</v>
      </c>
      <c r="I31" s="34">
        <f>CCTV!I15</f>
        <v>0</v>
      </c>
      <c r="J31" s="34">
        <f>CCTV!J15</f>
        <v>0</v>
      </c>
      <c r="K31" s="34">
        <f>CCTV!K15</f>
        <v>0</v>
      </c>
      <c r="L31" s="34">
        <f>CCTV!L15</f>
        <v>0</v>
      </c>
      <c r="M31" s="34">
        <f>CCTV!M15</f>
        <v>0</v>
      </c>
    </row>
    <row r="32" spans="2:13" ht="15">
      <c r="B32" s="6" t="s">
        <v>6</v>
      </c>
      <c r="C32" s="34">
        <f>Events!C14</f>
        <v>-5300</v>
      </c>
      <c r="D32" s="34">
        <f>Events!D14</f>
        <v>0</v>
      </c>
      <c r="E32" s="34">
        <f>Events!E14</f>
        <v>0</v>
      </c>
      <c r="F32" s="34">
        <f>Events!F14</f>
        <v>0</v>
      </c>
      <c r="G32" s="34">
        <f>Events!G14</f>
        <v>0</v>
      </c>
      <c r="H32" s="34">
        <f>Events!H14</f>
        <v>0</v>
      </c>
      <c r="I32" s="34">
        <f>Events!I14</f>
        <v>0</v>
      </c>
      <c r="J32" s="34">
        <f>Events!J14</f>
        <v>-5300</v>
      </c>
      <c r="K32" s="34">
        <f>Events!K14</f>
        <v>-5300</v>
      </c>
      <c r="L32" s="34">
        <f>Events!L14</f>
        <v>-5300</v>
      </c>
      <c r="M32" s="34">
        <f>Events!M14</f>
        <v>-5300</v>
      </c>
    </row>
    <row r="33" spans="2:13" ht="15">
      <c r="B33" s="6" t="s">
        <v>8</v>
      </c>
      <c r="C33" s="34">
        <f>'Marina Theatre'!C15</f>
        <v>0</v>
      </c>
      <c r="D33" s="34">
        <f>'Marina Theatre'!D15</f>
        <v>0</v>
      </c>
      <c r="E33" s="34">
        <f>'Marina Theatre'!E15</f>
        <v>0</v>
      </c>
      <c r="F33" s="34">
        <f>'Marina Theatre'!F15</f>
        <v>0</v>
      </c>
      <c r="G33" s="34">
        <f>'Marina Theatre'!G15</f>
        <v>0</v>
      </c>
      <c r="H33" s="34">
        <f>'Marina Theatre'!H15</f>
        <v>0</v>
      </c>
      <c r="I33" s="34">
        <f>'Marina Theatre'!I15</f>
        <v>0</v>
      </c>
      <c r="J33" s="34">
        <f>'Marina Theatre'!J15</f>
        <v>0</v>
      </c>
      <c r="K33" s="34">
        <f>'Marina Theatre'!K15</f>
        <v>0</v>
      </c>
      <c r="L33" s="34">
        <f>'Marina Theatre'!L15</f>
        <v>0</v>
      </c>
      <c r="M33" s="34">
        <f>'Marina Theatre'!M15</f>
        <v>0</v>
      </c>
    </row>
    <row r="34" spans="2:13" ht="15">
      <c r="B34" s="6" t="s">
        <v>108</v>
      </c>
      <c r="C34" s="34">
        <f>'Open Spaces'!C18</f>
        <v>0</v>
      </c>
      <c r="D34" s="34">
        <f>'Open Spaces'!D18</f>
        <v>0</v>
      </c>
      <c r="E34" s="34">
        <f>'Open Spaces'!E18</f>
        <v>0</v>
      </c>
      <c r="F34" s="34">
        <f>'Open Spaces'!F18</f>
        <v>0</v>
      </c>
      <c r="G34" s="34">
        <f>'Open Spaces'!G18</f>
        <v>0</v>
      </c>
      <c r="H34" s="34">
        <f>'Open Spaces'!H18</f>
        <v>0</v>
      </c>
      <c r="I34" s="34">
        <f>'Open Spaces'!I18</f>
        <v>0</v>
      </c>
      <c r="J34" s="34">
        <f>'Open Spaces'!J18</f>
        <v>-524.7</v>
      </c>
      <c r="K34" s="34">
        <f>'Open Spaces'!K18</f>
        <v>-524.7</v>
      </c>
      <c r="L34" s="34">
        <f>'Open Spaces'!L18</f>
        <v>-524.7</v>
      </c>
      <c r="M34" s="34">
        <f>'Open Spaces'!M18</f>
        <v>-524.7</v>
      </c>
    </row>
    <row r="35" spans="2:13" ht="15">
      <c r="B35" s="6" t="s">
        <v>91</v>
      </c>
      <c r="C35" s="34">
        <f>'Sparrows Nest'!C21</f>
        <v>-30800</v>
      </c>
      <c r="D35" s="34">
        <f>'Sparrows Nest'!D21</f>
        <v>-15650</v>
      </c>
      <c r="E35" s="34">
        <f>'Sparrows Nest'!E21</f>
        <v>-14701</v>
      </c>
      <c r="F35" s="34">
        <f>'Sparrows Nest'!F21</f>
        <v>-1299</v>
      </c>
      <c r="G35" s="34">
        <f>'Sparrows Nest'!G21</f>
        <v>0</v>
      </c>
      <c r="H35" s="34">
        <f>'Sparrows Nest'!H21</f>
        <v>-350</v>
      </c>
      <c r="I35" s="34">
        <f>'Sparrows Nest'!I21</f>
        <v>0</v>
      </c>
      <c r="J35" s="34">
        <f>'Sparrows Nest'!J21</f>
        <v>-30800</v>
      </c>
      <c r="K35" s="34">
        <f>'Sparrows Nest'!K21</f>
        <v>-30800</v>
      </c>
      <c r="L35" s="34">
        <f>'Sparrows Nest'!L21</f>
        <v>-30800</v>
      </c>
      <c r="M35" s="34">
        <f>'Sparrows Nest'!M21</f>
        <v>-30800</v>
      </c>
    </row>
    <row r="36" spans="2:13" ht="15">
      <c r="B36" s="6" t="s">
        <v>71</v>
      </c>
      <c r="C36" s="34">
        <f>'Belle Vue'!C15</f>
        <v>-1500</v>
      </c>
      <c r="D36" s="34">
        <f>'Belle Vue'!D15</f>
        <v>-350</v>
      </c>
      <c r="E36" s="34">
        <f>'Belle Vue'!E15</f>
        <v>-1241</v>
      </c>
      <c r="F36" s="34">
        <f>'Belle Vue'!F15</f>
        <v>0</v>
      </c>
      <c r="G36" s="34">
        <f>'Belle Vue'!G15</f>
        <v>0</v>
      </c>
      <c r="H36" s="34">
        <f>'Belle Vue'!H15</f>
        <v>-891</v>
      </c>
      <c r="I36" s="34">
        <f>'Belle Vue'!I15</f>
        <v>0</v>
      </c>
      <c r="J36" s="34">
        <f>'Belle Vue'!J15</f>
        <v>-4270</v>
      </c>
      <c r="K36" s="34">
        <f>'Belle Vue'!K15</f>
        <v>-4270</v>
      </c>
      <c r="L36" s="34">
        <f>'Belle Vue'!L15</f>
        <v>-4270</v>
      </c>
      <c r="M36" s="34">
        <f>'Belle Vue'!M15</f>
        <v>-4270</v>
      </c>
    </row>
    <row r="37" spans="2:13" ht="15">
      <c r="B37" s="6" t="s">
        <v>97</v>
      </c>
      <c r="C37" s="34">
        <f>'Kensington Gdns'!C18</f>
        <v>-11600</v>
      </c>
      <c r="D37" s="34">
        <f>'Kensington Gdns'!D18</f>
        <v>-5845</v>
      </c>
      <c r="E37" s="34">
        <f>'Kensington Gdns'!E18</f>
        <v>-5787</v>
      </c>
      <c r="F37" s="34">
        <f>'Kensington Gdns'!F18</f>
        <v>-3482</v>
      </c>
      <c r="G37" s="34">
        <f>'Kensington Gdns'!G18</f>
        <v>0</v>
      </c>
      <c r="H37" s="34">
        <f>'Kensington Gdns'!H18</f>
        <v>-3424</v>
      </c>
      <c r="I37" s="34">
        <f>'Kensington Gdns'!I18</f>
        <v>0</v>
      </c>
      <c r="J37" s="34">
        <f>'Kensington Gdns'!J18</f>
        <v>-11645</v>
      </c>
      <c r="K37" s="34">
        <f>'Kensington Gdns'!K18</f>
        <v>-11645</v>
      </c>
      <c r="L37" s="34">
        <f>'Kensington Gdns'!L18</f>
        <v>-11645</v>
      </c>
      <c r="M37" s="34">
        <f>'Kensington Gdns'!M18</f>
        <v>-11645</v>
      </c>
    </row>
    <row r="38" spans="2:13" ht="15">
      <c r="B38" s="6" t="s">
        <v>9</v>
      </c>
      <c r="C38" s="34">
        <f>'Play Areas'!C31</f>
        <v>0</v>
      </c>
      <c r="D38" s="34">
        <f>'Play Areas'!D31</f>
        <v>0</v>
      </c>
      <c r="E38" s="34">
        <f>'Play Areas'!E31</f>
        <v>0</v>
      </c>
      <c r="F38" s="34">
        <f>'Play Areas'!F31</f>
        <v>0</v>
      </c>
      <c r="G38" s="34">
        <f>'Play Areas'!G31</f>
        <v>0</v>
      </c>
      <c r="H38" s="34">
        <f>'Play Areas'!H31</f>
        <v>0</v>
      </c>
      <c r="I38" s="34">
        <f>'Play Areas'!I31</f>
        <v>0</v>
      </c>
      <c r="J38" s="34">
        <f>'Play Areas'!J31</f>
        <v>0</v>
      </c>
      <c r="K38" s="34">
        <f>'Play Areas'!K31</f>
        <v>0</v>
      </c>
      <c r="L38" s="34">
        <f>'Play Areas'!L31</f>
        <v>0</v>
      </c>
      <c r="M38" s="34">
        <f>'Play Areas'!M31</f>
        <v>0</v>
      </c>
    </row>
    <row r="39" spans="2:13" ht="15">
      <c r="B39" s="6" t="s">
        <v>10</v>
      </c>
      <c r="C39" s="34">
        <f>'Denes Oval'!C17</f>
        <v>-9900</v>
      </c>
      <c r="D39" s="34">
        <f>'Denes Oval'!D17</f>
        <v>-4950</v>
      </c>
      <c r="E39" s="34">
        <f>'Denes Oval'!E17</f>
        <v>-914</v>
      </c>
      <c r="F39" s="34">
        <f>'Denes Oval'!F17</f>
        <v>-954</v>
      </c>
      <c r="G39" s="34">
        <f>'Denes Oval'!G17</f>
        <v>0</v>
      </c>
      <c r="H39" s="34">
        <f>'Denes Oval'!H17</f>
        <v>3082</v>
      </c>
      <c r="I39" s="34">
        <f>'Denes Oval'!I17</f>
        <v>0</v>
      </c>
      <c r="J39" s="34">
        <f>'Denes Oval'!J17</f>
        <v>-9900</v>
      </c>
      <c r="K39" s="34">
        <f>'Denes Oval'!K17</f>
        <v>-9900</v>
      </c>
      <c r="L39" s="34">
        <f>'Denes Oval'!L17</f>
        <v>-9900</v>
      </c>
      <c r="M39" s="34">
        <f>'Denes Oval'!M17</f>
        <v>-9900</v>
      </c>
    </row>
    <row r="40" spans="2:13" ht="15">
      <c r="B40" s="6" t="s">
        <v>11</v>
      </c>
      <c r="C40" s="34">
        <f>'Normanston Park'!C16</f>
        <v>-9400</v>
      </c>
      <c r="D40" s="34">
        <f>'Normanston Park'!D16</f>
        <v>-5425</v>
      </c>
      <c r="E40" s="34">
        <f>'Normanston Park'!E16</f>
        <v>-6364</v>
      </c>
      <c r="F40" s="34">
        <f>'Normanston Park'!F16</f>
        <v>-1149</v>
      </c>
      <c r="G40" s="34">
        <f>'Normanston Park'!G16</f>
        <v>0</v>
      </c>
      <c r="H40" s="34">
        <f>'Normanston Park'!H16</f>
        <v>-2088</v>
      </c>
      <c r="I40" s="34">
        <f>'Normanston Park'!I16</f>
        <v>0</v>
      </c>
      <c r="J40" s="34">
        <f>'Normanston Park'!J16</f>
        <v>-10850</v>
      </c>
      <c r="K40" s="34">
        <f>'Normanston Park'!K16</f>
        <v>-10850</v>
      </c>
      <c r="L40" s="34">
        <f>'Normanston Park'!L16</f>
        <v>-10850</v>
      </c>
      <c r="M40" s="34">
        <f>'Normanston Park'!M16</f>
        <v>-10850</v>
      </c>
    </row>
    <row r="41" spans="2:13" ht="15">
      <c r="B41" s="6" t="s">
        <v>101</v>
      </c>
      <c r="C41" s="34">
        <f>'Pakefield St PC'!C14</f>
        <v>0</v>
      </c>
      <c r="D41" s="34">
        <f>'Pakefield St PC'!D14</f>
        <v>0</v>
      </c>
      <c r="E41" s="34">
        <f>'Pakefield St PC'!E14</f>
        <v>0</v>
      </c>
      <c r="F41" s="34">
        <f>'Pakefield St PC'!F14</f>
        <v>0</v>
      </c>
      <c r="G41" s="34">
        <f>'Pakefield St PC'!G14</f>
        <v>0</v>
      </c>
      <c r="H41" s="34">
        <f>'Pakefield St PC'!H14</f>
        <v>0</v>
      </c>
      <c r="I41" s="34">
        <f>'Pakefield St PC'!I14</f>
        <v>0</v>
      </c>
      <c r="J41" s="34">
        <f>'Pakefield St PC'!J14</f>
        <v>0</v>
      </c>
      <c r="K41" s="34">
        <f>'Pakefield St PC'!K14</f>
        <v>0</v>
      </c>
      <c r="L41" s="34">
        <f>'Pakefield St PC'!L14</f>
        <v>0</v>
      </c>
      <c r="M41" s="34">
        <f>'Pakefield St PC'!M14</f>
        <v>0</v>
      </c>
    </row>
    <row r="42" spans="2:13" ht="15">
      <c r="B42" s="6" t="s">
        <v>102</v>
      </c>
      <c r="C42" s="34">
        <f>'The Triangle PC'!C13</f>
        <v>0</v>
      </c>
      <c r="D42" s="34">
        <f>'The Triangle PC'!D13</f>
        <v>0</v>
      </c>
      <c r="E42" s="34">
        <f>'The Triangle PC'!E13</f>
        <v>0</v>
      </c>
      <c r="F42" s="34">
        <f>'The Triangle PC'!F13</f>
        <v>0</v>
      </c>
      <c r="G42" s="34">
        <f>'The Triangle PC'!G13</f>
        <v>0</v>
      </c>
      <c r="H42" s="34">
        <f>'The Triangle PC'!H13</f>
        <v>0</v>
      </c>
      <c r="I42" s="34">
        <f>'The Triangle PC'!I13</f>
        <v>0</v>
      </c>
      <c r="J42" s="34">
        <f>'The Triangle PC'!J13</f>
        <v>0</v>
      </c>
      <c r="K42" s="34">
        <f>'The Triangle PC'!K13</f>
        <v>0</v>
      </c>
      <c r="L42" s="34">
        <f>'The Triangle PC'!L13</f>
        <v>0</v>
      </c>
      <c r="M42" s="34">
        <f>'The Triangle PC'!M13</f>
        <v>0</v>
      </c>
    </row>
    <row r="43" spans="2:13" ht="15">
      <c r="B43" s="6" t="s">
        <v>103</v>
      </c>
      <c r="C43" s="34">
        <f>'Kn Gdns PC'!C15</f>
        <v>0</v>
      </c>
      <c r="D43" s="34">
        <f>'Kn Gdns PC'!D15</f>
        <v>0</v>
      </c>
      <c r="E43" s="34">
        <f>'Kn Gdns PC'!E15</f>
        <v>0</v>
      </c>
      <c r="F43" s="34">
        <f>'Kn Gdns PC'!F15</f>
        <v>0</v>
      </c>
      <c r="G43" s="34">
        <f>'Kn Gdns PC'!G15</f>
        <v>0</v>
      </c>
      <c r="H43" s="34">
        <f>'Kn Gdns PC'!H15</f>
        <v>0</v>
      </c>
      <c r="I43" s="34">
        <f>'Kn Gdns PC'!I15</f>
        <v>0</v>
      </c>
      <c r="J43" s="34">
        <f>'Kn Gdns PC'!J15</f>
        <v>0</v>
      </c>
      <c r="K43" s="34">
        <f>'Kn Gdns PC'!K15</f>
        <v>0</v>
      </c>
      <c r="L43" s="34">
        <f>'Kn Gdns PC'!L15</f>
        <v>0</v>
      </c>
      <c r="M43" s="34">
        <f>'Kn Gdns PC'!M15</f>
        <v>0</v>
      </c>
    </row>
    <row r="44" spans="2:13" ht="15">
      <c r="B44" s="6" t="s">
        <v>105</v>
      </c>
      <c r="C44" s="34">
        <f>'Kirkley Cliff Rd PC'!C14</f>
        <v>0</v>
      </c>
      <c r="D44" s="34">
        <f>'Kirkley Cliff Rd PC'!D14</f>
        <v>0</v>
      </c>
      <c r="E44" s="34">
        <f>'Kirkley Cliff Rd PC'!E14</f>
        <v>0</v>
      </c>
      <c r="F44" s="34">
        <f>'Kirkley Cliff Rd PC'!F14</f>
        <v>0</v>
      </c>
      <c r="G44" s="34">
        <f>'Kirkley Cliff Rd PC'!G14</f>
        <v>0</v>
      </c>
      <c r="H44" s="34">
        <f>'Kirkley Cliff Rd PC'!H14</f>
        <v>0</v>
      </c>
      <c r="I44" s="34">
        <f>'Kirkley Cliff Rd PC'!I14</f>
        <v>0</v>
      </c>
      <c r="J44" s="34">
        <f>'Kirkley Cliff Rd PC'!J14</f>
        <v>0</v>
      </c>
      <c r="K44" s="34">
        <f>'Kirkley Cliff Rd PC'!K14</f>
        <v>0</v>
      </c>
      <c r="L44" s="34">
        <f>'Kirkley Cliff Rd PC'!L14</f>
        <v>0</v>
      </c>
      <c r="M44" s="34">
        <f>'Kirkley Cliff Rd PC'!M14</f>
        <v>0</v>
      </c>
    </row>
    <row r="45" spans="2:13" ht="15">
      <c r="B45" s="6" t="s">
        <v>104</v>
      </c>
      <c r="C45" s="34">
        <f>'Low Cemetery PC'!C14</f>
        <v>0</v>
      </c>
      <c r="D45" s="34">
        <f>'Low Cemetery PC'!D14</f>
        <v>0</v>
      </c>
      <c r="E45" s="34">
        <f>'Low Cemetery PC'!E14</f>
        <v>0</v>
      </c>
      <c r="F45" s="34">
        <f>'Low Cemetery PC'!F14</f>
        <v>0</v>
      </c>
      <c r="G45" s="34">
        <f>'Low Cemetery PC'!G14</f>
        <v>0</v>
      </c>
      <c r="H45" s="34">
        <f>'Low Cemetery PC'!H14</f>
        <v>0</v>
      </c>
      <c r="I45" s="34">
        <f>'Low Cemetery PC'!I14</f>
        <v>0</v>
      </c>
      <c r="J45" s="34">
        <f>'Low Cemetery PC'!J14</f>
        <v>0</v>
      </c>
      <c r="K45" s="34">
        <f>'Low Cemetery PC'!K14</f>
        <v>0</v>
      </c>
      <c r="L45" s="34">
        <f>'Low Cemetery PC'!L14</f>
        <v>0</v>
      </c>
      <c r="M45" s="34">
        <f>'Low Cemetery PC'!M14</f>
        <v>0</v>
      </c>
    </row>
    <row r="46" spans="2:13" ht="15">
      <c r="B46" s="6" t="s">
        <v>33</v>
      </c>
      <c r="C46" s="34">
        <f>Miscellaneous!C20</f>
        <v>-9800</v>
      </c>
      <c r="D46" s="34">
        <f>Miscellaneous!D20</f>
        <v>-1250</v>
      </c>
      <c r="E46" s="34">
        <f>Miscellaneous!E20</f>
        <v>-1300</v>
      </c>
      <c r="F46" s="34">
        <f>Miscellaneous!F20</f>
        <v>0</v>
      </c>
      <c r="G46" s="34">
        <f>Miscellaneous!G20</f>
        <v>0</v>
      </c>
      <c r="H46" s="34">
        <f>Miscellaneous!H20</f>
        <v>-50</v>
      </c>
      <c r="I46" s="34">
        <f>Miscellaneous!I20</f>
        <v>0</v>
      </c>
      <c r="J46" s="34">
        <f>Miscellaneous!J20</f>
        <v>-9850</v>
      </c>
      <c r="K46" s="34">
        <f>Miscellaneous!K20</f>
        <v>-9850</v>
      </c>
      <c r="L46" s="34">
        <f>Miscellaneous!L20</f>
        <v>-9850</v>
      </c>
      <c r="M46" s="34">
        <f>Miscellaneous!M20</f>
        <v>-9850</v>
      </c>
    </row>
    <row r="47" spans="2:13" ht="15">
      <c r="B47" s="6" t="s">
        <v>110</v>
      </c>
      <c r="C47" s="34">
        <f>'Town Hall'!C27</f>
        <v>0</v>
      </c>
      <c r="D47" s="34">
        <f>'Town Hall'!D27</f>
        <v>0</v>
      </c>
      <c r="E47" s="34">
        <f>'Town Hall'!E27</f>
        <v>0</v>
      </c>
      <c r="F47" s="34">
        <f>'Town Hall'!F27</f>
        <v>0</v>
      </c>
      <c r="G47" s="34">
        <f>'Town Hall'!G27</f>
        <v>0</v>
      </c>
      <c r="H47" s="34">
        <f>'Town Hall'!H27</f>
        <v>0</v>
      </c>
      <c r="I47" s="34">
        <f>'Town Hall'!I27</f>
        <v>0</v>
      </c>
      <c r="J47" s="34">
        <f>'Town Hall'!J27</f>
        <v>0</v>
      </c>
      <c r="K47" s="34">
        <f>'Town Hall'!K27</f>
        <v>0</v>
      </c>
      <c r="L47" s="34">
        <f>'Town Hall'!L27</f>
        <v>0</v>
      </c>
      <c r="M47" s="34">
        <f>'Town Hall'!M27</f>
        <v>0</v>
      </c>
    </row>
    <row r="48" spans="2:13" ht="15">
      <c r="B48" s="6" t="s">
        <v>12</v>
      </c>
      <c r="C48" s="34">
        <f>Administration!C50</f>
        <v>0</v>
      </c>
      <c r="D48" s="34">
        <f>Administration!D50</f>
        <v>0</v>
      </c>
      <c r="E48" s="34">
        <f>Administration!E50</f>
        <v>0</v>
      </c>
      <c r="F48" s="34">
        <f>Administration!F50</f>
        <v>0</v>
      </c>
      <c r="G48" s="34">
        <f>Administration!G50</f>
        <v>0</v>
      </c>
      <c r="H48" s="34">
        <f>Administration!H50</f>
        <v>0</v>
      </c>
      <c r="I48" s="34">
        <f>Administration!I50</f>
        <v>-2170</v>
      </c>
      <c r="J48" s="34">
        <f>Administration!J50</f>
        <v>0</v>
      </c>
      <c r="K48" s="34">
        <f>Administration!K50</f>
        <v>0</v>
      </c>
      <c r="L48" s="34">
        <f>Administration!L50</f>
        <v>0</v>
      </c>
      <c r="M48" s="34">
        <f>Administration!M50</f>
        <v>0</v>
      </c>
    </row>
    <row r="49" spans="2:13" ht="15">
      <c r="B49" s="6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ht="15">
      <c r="B50" s="6" t="s">
        <v>0</v>
      </c>
      <c r="C50" s="34">
        <f>SUM(C29:C48)</f>
        <v>-158300</v>
      </c>
      <c r="D50" s="34">
        <f aca="true" t="shared" si="1" ref="D50:M50">SUM(D29:D48)</f>
        <v>-33470</v>
      </c>
      <c r="E50" s="34">
        <f t="shared" si="1"/>
        <v>-30307</v>
      </c>
      <c r="F50" s="34">
        <f t="shared" si="1"/>
        <v>-6884</v>
      </c>
      <c r="G50" s="34">
        <f t="shared" si="1"/>
        <v>0</v>
      </c>
      <c r="H50" s="34">
        <f t="shared" si="1"/>
        <v>-3721</v>
      </c>
      <c r="I50" s="34">
        <f t="shared" si="1"/>
        <v>-2170</v>
      </c>
      <c r="J50" s="34">
        <f t="shared" si="1"/>
        <v>-163139.7</v>
      </c>
      <c r="K50" s="34">
        <f t="shared" si="1"/>
        <v>-163139.7</v>
      </c>
      <c r="L50" s="34">
        <f t="shared" si="1"/>
        <v>-163139.7</v>
      </c>
      <c r="M50" s="34">
        <f t="shared" si="1"/>
        <v>-163139.7</v>
      </c>
    </row>
    <row r="51" spans="2:13" ht="15">
      <c r="B51" s="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ht="15">
      <c r="B52" s="6" t="s">
        <v>73</v>
      </c>
      <c r="C52" s="34">
        <f>C26+C50</f>
        <v>1392280</v>
      </c>
      <c r="D52" s="34">
        <f aca="true" t="shared" si="2" ref="D52:M52">D26+D50</f>
        <v>735502.1399730821</v>
      </c>
      <c r="E52" s="34">
        <f t="shared" si="2"/>
        <v>296424.75639300136</v>
      </c>
      <c r="F52" s="34">
        <f t="shared" si="2"/>
        <v>282698.99999999994</v>
      </c>
      <c r="G52" s="34">
        <f t="shared" si="2"/>
        <v>291604.7617765814</v>
      </c>
      <c r="H52" s="34">
        <f t="shared" si="2"/>
        <v>-156378.38358008076</v>
      </c>
      <c r="I52" s="34">
        <f t="shared" si="2"/>
        <v>52823.061911170924</v>
      </c>
      <c r="J52" s="34">
        <f t="shared" si="2"/>
        <v>1041161.8</v>
      </c>
      <c r="K52" s="34">
        <f t="shared" si="2"/>
        <v>1412073.1500000001</v>
      </c>
      <c r="L52" s="34">
        <f t="shared" si="2"/>
        <v>1437988.0355</v>
      </c>
      <c r="M52" s="34">
        <f t="shared" si="2"/>
        <v>1464695.2675650003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PageLayoutView="0" workbookViewId="0" topLeftCell="A1">
      <selection activeCell="B24" sqref="B24:L2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160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45</v>
      </c>
      <c r="C5" s="13">
        <v>4800</v>
      </c>
      <c r="D5" s="13">
        <f>E5+F5</f>
        <v>2571.1978465679676</v>
      </c>
      <c r="E5" s="13">
        <v>1705.5181695827725</v>
      </c>
      <c r="F5" s="13">
        <v>865.6796769851951</v>
      </c>
      <c r="G5" s="13">
        <f>J5-F5-E5</f>
        <v>2228.8021534320324</v>
      </c>
      <c r="H5" s="13">
        <f>E5+F5-D5</f>
        <v>0</v>
      </c>
      <c r="I5" s="13">
        <v>341.10363391655454</v>
      </c>
      <c r="J5" s="13">
        <v>4800</v>
      </c>
      <c r="K5" s="13">
        <f aca="true" t="shared" si="0" ref="K5:M7">J5*1.03</f>
        <v>4944</v>
      </c>
      <c r="L5" s="13">
        <f t="shared" si="0"/>
        <v>5092.32</v>
      </c>
      <c r="M5" s="13">
        <f t="shared" si="0"/>
        <v>5245.0896</v>
      </c>
      <c r="N5" s="3"/>
      <c r="O5" s="3"/>
      <c r="P5" s="3"/>
      <c r="Q5" s="3"/>
      <c r="R5" s="3"/>
    </row>
    <row r="6" spans="2:18" ht="15">
      <c r="B6" s="7" t="s">
        <v>56</v>
      </c>
      <c r="C6" s="13">
        <v>200</v>
      </c>
      <c r="D6" s="13">
        <f>E6+F6</f>
        <v>107.13324360699865</v>
      </c>
      <c r="E6" s="13">
        <v>71.06325706594885</v>
      </c>
      <c r="F6" s="13">
        <v>36.0699865410498</v>
      </c>
      <c r="G6" s="13">
        <f>J6-F6-E6</f>
        <v>92.86675639300137</v>
      </c>
      <c r="H6" s="13">
        <f>E6+F6-D6</f>
        <v>0</v>
      </c>
      <c r="I6" s="13">
        <v>14.21265141318977</v>
      </c>
      <c r="J6" s="13">
        <v>200</v>
      </c>
      <c r="K6" s="13">
        <f t="shared" si="0"/>
        <v>206</v>
      </c>
      <c r="L6" s="13">
        <f t="shared" si="0"/>
        <v>212.18</v>
      </c>
      <c r="M6" s="13">
        <f t="shared" si="0"/>
        <v>218.5454</v>
      </c>
      <c r="N6" s="3"/>
      <c r="O6" s="3"/>
      <c r="P6" s="3"/>
      <c r="Q6" s="3"/>
      <c r="R6" s="3"/>
    </row>
    <row r="7" spans="2:18" ht="15">
      <c r="B7" s="7" t="s">
        <v>43</v>
      </c>
      <c r="C7" s="13">
        <v>600</v>
      </c>
      <c r="D7" s="13">
        <f>E7+F7</f>
        <v>321.39973082099596</v>
      </c>
      <c r="E7" s="13">
        <v>213.18977119784657</v>
      </c>
      <c r="F7" s="13">
        <v>108.20995962314939</v>
      </c>
      <c r="G7" s="13">
        <f>J7-F7-E7</f>
        <v>278.60026917900404</v>
      </c>
      <c r="H7" s="13">
        <f>E7+F7-D7</f>
        <v>0</v>
      </c>
      <c r="I7" s="13">
        <v>42.63795423956932</v>
      </c>
      <c r="J7" s="13">
        <v>600</v>
      </c>
      <c r="K7" s="13">
        <f t="shared" si="0"/>
        <v>618</v>
      </c>
      <c r="L7" s="13">
        <f t="shared" si="0"/>
        <v>636.54</v>
      </c>
      <c r="M7" s="13">
        <f t="shared" si="0"/>
        <v>655.6362</v>
      </c>
      <c r="N7" s="3"/>
      <c r="O7" s="3"/>
      <c r="P7" s="3"/>
      <c r="Q7" s="3"/>
      <c r="R7" s="3"/>
    </row>
    <row r="8" spans="2:18" ht="15">
      <c r="B8" s="6" t="s">
        <v>140</v>
      </c>
      <c r="C8" s="10">
        <f aca="true" t="shared" si="1" ref="C8:M8">SUM(C5:C7)</f>
        <v>5600</v>
      </c>
      <c r="D8" s="10">
        <f t="shared" si="1"/>
        <v>2999.7308209959624</v>
      </c>
      <c r="E8" s="10">
        <f t="shared" si="1"/>
        <v>1989.771197846568</v>
      </c>
      <c r="F8" s="10">
        <f t="shared" si="1"/>
        <v>1009.9596231493944</v>
      </c>
      <c r="G8" s="10">
        <f>SUM(G5:G7)</f>
        <v>2600.2691790040376</v>
      </c>
      <c r="H8" s="10">
        <f>SUM(H5:H7)</f>
        <v>0</v>
      </c>
      <c r="I8" s="10">
        <f>SUM(I5:I7)</f>
        <v>397.9542395693136</v>
      </c>
      <c r="J8" s="10">
        <f>SUM(J5:J7)</f>
        <v>5600</v>
      </c>
      <c r="K8" s="10">
        <f t="shared" si="1"/>
        <v>5768</v>
      </c>
      <c r="L8" s="10">
        <f t="shared" si="1"/>
        <v>5941.04</v>
      </c>
      <c r="M8" s="10">
        <f t="shared" si="1"/>
        <v>6119.2712</v>
      </c>
      <c r="N8" s="3"/>
      <c r="O8" s="3"/>
      <c r="P8" s="3"/>
      <c r="Q8" s="3"/>
      <c r="R8" s="3"/>
    </row>
    <row r="9" spans="2:18" ht="1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3"/>
      <c r="P9" s="3"/>
      <c r="Q9" s="3"/>
      <c r="R9" s="3"/>
    </row>
    <row r="10" spans="2:18" ht="15">
      <c r="B10" s="7" t="s">
        <v>162</v>
      </c>
      <c r="C10" s="13">
        <v>11000</v>
      </c>
      <c r="D10" s="10"/>
      <c r="E10" s="10"/>
      <c r="F10" s="10"/>
      <c r="G10" s="10"/>
      <c r="H10" s="13">
        <f>E10+F10-D10</f>
        <v>0</v>
      </c>
      <c r="I10" s="13"/>
      <c r="J10" s="13">
        <v>0</v>
      </c>
      <c r="K10" s="13">
        <v>0</v>
      </c>
      <c r="L10" s="13">
        <v>0</v>
      </c>
      <c r="M10" s="13">
        <v>0</v>
      </c>
      <c r="N10" s="3"/>
      <c r="O10" s="3"/>
      <c r="P10" s="3"/>
      <c r="Q10" s="3"/>
      <c r="R10" s="3"/>
    </row>
    <row r="11" spans="2:18" ht="15">
      <c r="B11" s="7" t="s">
        <v>163</v>
      </c>
      <c r="C11" s="13">
        <v>12000</v>
      </c>
      <c r="D11" s="10"/>
      <c r="E11" s="10"/>
      <c r="F11" s="10"/>
      <c r="G11" s="10"/>
      <c r="H11" s="13">
        <f>E11+F11-D11</f>
        <v>0</v>
      </c>
      <c r="I11" s="13"/>
      <c r="J11" s="13">
        <v>0</v>
      </c>
      <c r="K11" s="13">
        <v>0</v>
      </c>
      <c r="L11" s="13">
        <v>0</v>
      </c>
      <c r="M11" s="13">
        <v>0</v>
      </c>
      <c r="N11" s="3"/>
      <c r="O11" s="3"/>
      <c r="P11" s="3"/>
      <c r="Q11" s="3"/>
      <c r="R11" s="3"/>
    </row>
    <row r="12" spans="2:18" ht="15">
      <c r="B12" s="11" t="s">
        <v>137</v>
      </c>
      <c r="C12" s="13">
        <v>0</v>
      </c>
      <c r="D12" s="10"/>
      <c r="E12" s="10"/>
      <c r="F12" s="10"/>
      <c r="G12" s="10"/>
      <c r="H12" s="13">
        <f>E12+F12-D12</f>
        <v>0</v>
      </c>
      <c r="I12" s="10"/>
      <c r="J12" s="13">
        <v>23000</v>
      </c>
      <c r="K12" s="13">
        <v>23000</v>
      </c>
      <c r="L12" s="13">
        <v>23000</v>
      </c>
      <c r="M12" s="13">
        <v>23000</v>
      </c>
      <c r="N12" s="3"/>
      <c r="O12" s="3"/>
      <c r="P12" s="3"/>
      <c r="Q12" s="3"/>
      <c r="R12" s="3"/>
    </row>
    <row r="13" spans="2:18" ht="15">
      <c r="B13" s="6" t="s">
        <v>161</v>
      </c>
      <c r="C13" s="10">
        <f>SUM(C9:C12)</f>
        <v>23000</v>
      </c>
      <c r="D13" s="10">
        <f aca="true" t="shared" si="2" ref="D13:M13">SUM(D9:D12)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23000</v>
      </c>
      <c r="K13" s="10">
        <f t="shared" si="2"/>
        <v>23000</v>
      </c>
      <c r="L13" s="10">
        <f t="shared" si="2"/>
        <v>23000</v>
      </c>
      <c r="M13" s="10">
        <f t="shared" si="2"/>
        <v>23000</v>
      </c>
      <c r="N13" s="3"/>
      <c r="O13" s="3"/>
      <c r="P13" s="3"/>
      <c r="Q13" s="3"/>
      <c r="R13" s="3"/>
    </row>
    <row r="14" spans="2:18" ht="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18" ht="15">
      <c r="B15" s="6" t="s">
        <v>70</v>
      </c>
      <c r="C15" s="10">
        <f>C8+C13</f>
        <v>28600</v>
      </c>
      <c r="D15" s="10">
        <f aca="true" t="shared" si="3" ref="D15:M15">D8+D13</f>
        <v>2999.7308209959624</v>
      </c>
      <c r="E15" s="10">
        <f t="shared" si="3"/>
        <v>1989.771197846568</v>
      </c>
      <c r="F15" s="10">
        <f t="shared" si="3"/>
        <v>1009.9596231493944</v>
      </c>
      <c r="G15" s="10">
        <f t="shared" si="3"/>
        <v>2600.2691790040376</v>
      </c>
      <c r="H15" s="10">
        <f t="shared" si="3"/>
        <v>0</v>
      </c>
      <c r="I15" s="10">
        <f t="shared" si="3"/>
        <v>397.9542395693136</v>
      </c>
      <c r="J15" s="10">
        <f t="shared" si="3"/>
        <v>28600</v>
      </c>
      <c r="K15" s="10">
        <f t="shared" si="3"/>
        <v>28768</v>
      </c>
      <c r="L15" s="10">
        <f t="shared" si="3"/>
        <v>28941.04</v>
      </c>
      <c r="M15" s="10">
        <f t="shared" si="3"/>
        <v>29119.2712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7" t="s">
        <v>107</v>
      </c>
      <c r="C17" s="13">
        <v>-8800</v>
      </c>
      <c r="D17" s="13">
        <v>-1250</v>
      </c>
      <c r="E17" s="13">
        <v>-1250</v>
      </c>
      <c r="F17" s="10"/>
      <c r="G17" s="10"/>
      <c r="H17" s="13">
        <f>E17+F17-D17</f>
        <v>0</v>
      </c>
      <c r="I17" s="13"/>
      <c r="J17" s="13">
        <v>-8800</v>
      </c>
      <c r="K17" s="13">
        <v>-8800</v>
      </c>
      <c r="L17" s="13">
        <v>-8800</v>
      </c>
      <c r="M17" s="13">
        <v>-8800</v>
      </c>
      <c r="N17" s="3"/>
      <c r="O17" s="3"/>
      <c r="P17" s="3"/>
      <c r="Q17" s="3"/>
      <c r="R17" s="3"/>
    </row>
    <row r="18" spans="2:18" ht="15">
      <c r="B18" s="7" t="s">
        <v>155</v>
      </c>
      <c r="C18" s="13">
        <v>0</v>
      </c>
      <c r="D18" s="13">
        <v>0</v>
      </c>
      <c r="E18" s="13">
        <v>-50</v>
      </c>
      <c r="F18" s="10"/>
      <c r="G18" s="10"/>
      <c r="H18" s="13">
        <f>E18+F18-D18</f>
        <v>-50</v>
      </c>
      <c r="I18" s="13"/>
      <c r="J18" s="13">
        <v>-50</v>
      </c>
      <c r="K18" s="13">
        <v>-50</v>
      </c>
      <c r="L18" s="13">
        <v>-50</v>
      </c>
      <c r="M18" s="13">
        <v>-50</v>
      </c>
      <c r="N18" s="3"/>
      <c r="O18" s="3"/>
      <c r="P18" s="3"/>
      <c r="Q18" s="3"/>
      <c r="R18" s="3"/>
    </row>
    <row r="19" spans="2:18" ht="15">
      <c r="B19" s="7" t="s">
        <v>106</v>
      </c>
      <c r="C19" s="13">
        <v>-1000</v>
      </c>
      <c r="D19" s="10"/>
      <c r="E19" s="10"/>
      <c r="F19" s="10"/>
      <c r="G19" s="10"/>
      <c r="H19" s="13">
        <f>E19+F19-D19</f>
        <v>0</v>
      </c>
      <c r="I19" s="13"/>
      <c r="J19" s="13">
        <v>-1000</v>
      </c>
      <c r="K19" s="13">
        <v>-1000</v>
      </c>
      <c r="L19" s="13">
        <v>-1000</v>
      </c>
      <c r="M19" s="13">
        <v>-1000</v>
      </c>
      <c r="N19" s="3"/>
      <c r="O19" s="3"/>
      <c r="P19" s="3"/>
      <c r="Q19" s="3"/>
      <c r="R19" s="3"/>
    </row>
    <row r="20" spans="2:18" ht="15">
      <c r="B20" s="6" t="s">
        <v>0</v>
      </c>
      <c r="C20" s="10">
        <f>SUM(C17:C19)</f>
        <v>-9800</v>
      </c>
      <c r="D20" s="10">
        <f aca="true" t="shared" si="4" ref="D20:M20">SUM(D17:D19)</f>
        <v>-1250</v>
      </c>
      <c r="E20" s="10">
        <f t="shared" si="4"/>
        <v>-1300</v>
      </c>
      <c r="F20" s="10">
        <f t="shared" si="4"/>
        <v>0</v>
      </c>
      <c r="G20" s="10">
        <f>SUM(G17:G19)</f>
        <v>0</v>
      </c>
      <c r="H20" s="10">
        <f>SUM(H17:H19)</f>
        <v>-50</v>
      </c>
      <c r="I20" s="10">
        <f>SUM(I17:I19)</f>
        <v>0</v>
      </c>
      <c r="J20" s="10">
        <f>SUM(J17:J19)</f>
        <v>-9850</v>
      </c>
      <c r="K20" s="10">
        <f t="shared" si="4"/>
        <v>-9850</v>
      </c>
      <c r="L20" s="10">
        <f t="shared" si="4"/>
        <v>-9850</v>
      </c>
      <c r="M20" s="10">
        <f t="shared" si="4"/>
        <v>-9850</v>
      </c>
      <c r="N20" s="3"/>
      <c r="O20" s="3"/>
      <c r="P20" s="3"/>
      <c r="Q20" s="3"/>
      <c r="R20" s="3"/>
    </row>
    <row r="21" spans="2:18" ht="15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  <c r="O21" s="3"/>
      <c r="P21" s="3"/>
      <c r="Q21" s="3"/>
      <c r="R21" s="3"/>
    </row>
    <row r="22" spans="2:18" ht="15">
      <c r="B22" s="6" t="s">
        <v>73</v>
      </c>
      <c r="C22" s="10">
        <f aca="true" t="shared" si="5" ref="C22:M22">C15+C20</f>
        <v>18800</v>
      </c>
      <c r="D22" s="10">
        <f t="shared" si="5"/>
        <v>1749.7308209959624</v>
      </c>
      <c r="E22" s="10">
        <f t="shared" si="5"/>
        <v>689.7711978465679</v>
      </c>
      <c r="F22" s="10">
        <f t="shared" si="5"/>
        <v>1009.9596231493944</v>
      </c>
      <c r="G22" s="10">
        <f>G15+G20</f>
        <v>2600.2691790040376</v>
      </c>
      <c r="H22" s="10">
        <f>H15+H20</f>
        <v>-50</v>
      </c>
      <c r="I22" s="10">
        <f>I15+I20</f>
        <v>397.9542395693136</v>
      </c>
      <c r="J22" s="10">
        <f>J15+J20</f>
        <v>18750</v>
      </c>
      <c r="K22" s="10">
        <f t="shared" si="5"/>
        <v>18918</v>
      </c>
      <c r="L22" s="10">
        <f t="shared" si="5"/>
        <v>19091.04</v>
      </c>
      <c r="M22" s="10">
        <f t="shared" si="5"/>
        <v>19269.2712</v>
      </c>
      <c r="N22" s="3"/>
      <c r="O22" s="3"/>
      <c r="P22" s="3"/>
      <c r="Q22" s="3"/>
      <c r="R22" s="3"/>
    </row>
    <row r="24" ht="15">
      <c r="B24" s="2"/>
    </row>
    <row r="26" ht="15">
      <c r="B26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PageLayoutView="0" workbookViewId="0" topLeftCell="A1">
      <selection activeCell="B31" sqref="B31:W3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45" t="s">
        <v>110</v>
      </c>
      <c r="C2" s="40" t="s">
        <v>82</v>
      </c>
      <c r="D2" s="40" t="s">
        <v>83</v>
      </c>
      <c r="E2" s="40" t="s">
        <v>84</v>
      </c>
      <c r="F2" s="159" t="s">
        <v>142</v>
      </c>
      <c r="G2" s="159" t="s">
        <v>150</v>
      </c>
      <c r="H2" s="159" t="s">
        <v>85</v>
      </c>
      <c r="I2" s="159" t="s">
        <v>151</v>
      </c>
      <c r="J2" s="40" t="s">
        <v>136</v>
      </c>
      <c r="K2" s="40" t="s">
        <v>171</v>
      </c>
      <c r="L2" s="40" t="s">
        <v>86</v>
      </c>
      <c r="M2" s="40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8" t="s">
        <v>58</v>
      </c>
      <c r="C5" s="13">
        <v>37920</v>
      </c>
      <c r="D5" s="13">
        <v>0</v>
      </c>
      <c r="E5" s="10"/>
      <c r="F5" s="10"/>
      <c r="G5" s="10"/>
      <c r="H5" s="13">
        <f aca="true" t="shared" si="0" ref="H5:H13">E5+F5-D5</f>
        <v>0</v>
      </c>
      <c r="I5" s="13"/>
      <c r="J5" s="13">
        <v>0</v>
      </c>
      <c r="K5" s="13">
        <v>20000</v>
      </c>
      <c r="L5" s="13">
        <f>K5*1.03</f>
        <v>20600</v>
      </c>
      <c r="M5" s="13">
        <f>L5*1.03</f>
        <v>21218</v>
      </c>
      <c r="N5" s="3"/>
      <c r="O5" s="3"/>
      <c r="P5" s="3"/>
      <c r="Q5" s="3"/>
      <c r="R5" s="3"/>
    </row>
    <row r="6" spans="2:18" ht="15">
      <c r="B6" s="8" t="s">
        <v>172</v>
      </c>
      <c r="C6" s="13">
        <v>0</v>
      </c>
      <c r="D6" s="13">
        <v>0</v>
      </c>
      <c r="E6" s="10"/>
      <c r="F6" s="10"/>
      <c r="G6" s="10"/>
      <c r="H6" s="13">
        <f t="shared" si="0"/>
        <v>0</v>
      </c>
      <c r="I6" s="13"/>
      <c r="J6" s="13">
        <v>1530</v>
      </c>
      <c r="K6" s="13">
        <f>J6*1.03</f>
        <v>1575.9</v>
      </c>
      <c r="L6" s="13">
        <f>K6*1.03</f>
        <v>1623.1770000000001</v>
      </c>
      <c r="M6" s="13">
        <f>L6*1.03</f>
        <v>1671.8723100000002</v>
      </c>
      <c r="N6" s="3"/>
      <c r="O6" s="3"/>
      <c r="P6" s="3"/>
      <c r="Q6" s="3"/>
      <c r="R6" s="3"/>
    </row>
    <row r="7" spans="2:18" ht="15">
      <c r="B7" s="8" t="s">
        <v>81</v>
      </c>
      <c r="C7" s="13">
        <v>100</v>
      </c>
      <c r="D7" s="13">
        <v>100</v>
      </c>
      <c r="E7" s="13">
        <v>186</v>
      </c>
      <c r="F7" s="13">
        <v>2</v>
      </c>
      <c r="G7" s="10"/>
      <c r="H7" s="13">
        <f t="shared" si="0"/>
        <v>88</v>
      </c>
      <c r="I7" s="13"/>
      <c r="J7" s="13">
        <v>300</v>
      </c>
      <c r="K7" s="13">
        <v>100</v>
      </c>
      <c r="L7" s="13">
        <f>K7*1.03</f>
        <v>103</v>
      </c>
      <c r="M7" s="13">
        <f>L7*1.03</f>
        <v>106.09</v>
      </c>
      <c r="N7" s="3"/>
      <c r="O7" s="3"/>
      <c r="P7" s="3"/>
      <c r="Q7" s="3"/>
      <c r="R7" s="3"/>
    </row>
    <row r="8" spans="2:18" ht="15">
      <c r="B8" s="8" t="s">
        <v>59</v>
      </c>
      <c r="C8" s="13">
        <v>400</v>
      </c>
      <c r="D8" s="13">
        <v>0</v>
      </c>
      <c r="E8" s="10"/>
      <c r="F8" s="10"/>
      <c r="G8" s="10"/>
      <c r="H8" s="13">
        <f t="shared" si="0"/>
        <v>0</v>
      </c>
      <c r="I8" s="13"/>
      <c r="J8" s="13">
        <f>C8*0.75</f>
        <v>300</v>
      </c>
      <c r="K8" s="13">
        <v>400</v>
      </c>
      <c r="L8" s="13">
        <f>K8*1.03</f>
        <v>412</v>
      </c>
      <c r="M8" s="13">
        <f>L8*1.03</f>
        <v>424.36</v>
      </c>
      <c r="N8" s="3"/>
      <c r="O8" s="3"/>
      <c r="P8" s="3"/>
      <c r="Q8" s="3"/>
      <c r="R8" s="3"/>
    </row>
    <row r="9" spans="2:18" ht="15">
      <c r="B9" s="7" t="s">
        <v>65</v>
      </c>
      <c r="C9" s="9">
        <v>8000</v>
      </c>
      <c r="D9" s="13">
        <v>0</v>
      </c>
      <c r="E9" s="10"/>
      <c r="F9" s="10"/>
      <c r="G9" s="10"/>
      <c r="H9" s="13">
        <f t="shared" si="0"/>
        <v>0</v>
      </c>
      <c r="I9" s="13"/>
      <c r="J9" s="13">
        <v>4000</v>
      </c>
      <c r="K9" s="9">
        <v>8000</v>
      </c>
      <c r="L9" s="13">
        <f>K9*1.03</f>
        <v>8240</v>
      </c>
      <c r="M9" s="13">
        <f>L9*1.03</f>
        <v>8487.2</v>
      </c>
      <c r="N9" s="3"/>
      <c r="O9" s="3"/>
      <c r="P9" s="3"/>
      <c r="Q9" s="3"/>
      <c r="R9" s="3"/>
    </row>
    <row r="10" spans="2:18" ht="15">
      <c r="B10" s="7" t="s">
        <v>66</v>
      </c>
      <c r="C10" s="9">
        <v>6000</v>
      </c>
      <c r="D10" s="13">
        <v>3000</v>
      </c>
      <c r="E10" s="13">
        <v>551</v>
      </c>
      <c r="F10" s="13">
        <v>635</v>
      </c>
      <c r="G10" s="13"/>
      <c r="H10" s="13">
        <f t="shared" si="0"/>
        <v>-1814</v>
      </c>
      <c r="I10" s="13"/>
      <c r="J10" s="13">
        <v>2000</v>
      </c>
      <c r="K10" s="9">
        <v>6000</v>
      </c>
      <c r="L10" s="13">
        <f>K10*1.03</f>
        <v>6180</v>
      </c>
      <c r="M10" s="13">
        <f>L10*1.03</f>
        <v>6365.400000000001</v>
      </c>
      <c r="N10" s="3"/>
      <c r="O10" s="3"/>
      <c r="P10" s="3"/>
      <c r="Q10" s="3"/>
      <c r="R10" s="3"/>
    </row>
    <row r="11" spans="2:18" ht="15">
      <c r="B11" s="7" t="s">
        <v>67</v>
      </c>
      <c r="C11" s="9">
        <v>16000</v>
      </c>
      <c r="D11" s="13">
        <v>5330</v>
      </c>
      <c r="E11" s="13">
        <v>1475</v>
      </c>
      <c r="F11" s="13">
        <v>1483</v>
      </c>
      <c r="G11" s="13"/>
      <c r="H11" s="13">
        <f t="shared" si="0"/>
        <v>-2372</v>
      </c>
      <c r="I11" s="13"/>
      <c r="J11" s="13">
        <v>9000</v>
      </c>
      <c r="K11" s="9">
        <v>16000</v>
      </c>
      <c r="L11" s="13">
        <f>K11*1.03</f>
        <v>16480</v>
      </c>
      <c r="M11" s="13">
        <f>L11*1.03</f>
        <v>16974.4</v>
      </c>
      <c r="N11" s="3"/>
      <c r="O11" s="3"/>
      <c r="P11" s="3"/>
      <c r="Q11" s="3"/>
      <c r="R11" s="3"/>
    </row>
    <row r="12" spans="2:18" ht="15">
      <c r="B12" s="7" t="s">
        <v>68</v>
      </c>
      <c r="C12" s="9">
        <v>9000</v>
      </c>
      <c r="D12" s="13">
        <v>3000</v>
      </c>
      <c r="E12" s="13">
        <v>307</v>
      </c>
      <c r="F12" s="13">
        <v>204</v>
      </c>
      <c r="G12" s="13"/>
      <c r="H12" s="13">
        <f t="shared" si="0"/>
        <v>-2489</v>
      </c>
      <c r="I12" s="13"/>
      <c r="J12" s="13">
        <v>1200</v>
      </c>
      <c r="K12" s="9">
        <v>9000</v>
      </c>
      <c r="L12" s="13">
        <f>K12*1.03</f>
        <v>9270</v>
      </c>
      <c r="M12" s="13">
        <f>L12*1.03</f>
        <v>9548.1</v>
      </c>
      <c r="N12" s="3"/>
      <c r="O12" s="3"/>
      <c r="P12" s="3"/>
      <c r="Q12" s="3"/>
      <c r="R12" s="3"/>
    </row>
    <row r="13" spans="2:18" ht="15">
      <c r="B13" s="7" t="s">
        <v>69</v>
      </c>
      <c r="C13" s="9">
        <v>5000</v>
      </c>
      <c r="D13" s="13">
        <v>5000</v>
      </c>
      <c r="E13" s="10"/>
      <c r="F13" s="10"/>
      <c r="G13" s="10"/>
      <c r="H13" s="13">
        <f t="shared" si="0"/>
        <v>-5000</v>
      </c>
      <c r="I13" s="13"/>
      <c r="J13" s="9">
        <v>0</v>
      </c>
      <c r="K13" s="9">
        <v>0</v>
      </c>
      <c r="L13" s="9">
        <v>0</v>
      </c>
      <c r="M13" s="9">
        <v>0</v>
      </c>
      <c r="N13" s="3"/>
      <c r="O13" s="3"/>
      <c r="P13" s="3"/>
      <c r="Q13" s="3"/>
      <c r="R13" s="3"/>
    </row>
    <row r="14" spans="2:18" ht="15">
      <c r="B14" s="6" t="s">
        <v>80</v>
      </c>
      <c r="C14" s="10">
        <f aca="true" t="shared" si="1" ref="C14:M14">SUM(C5:C13)</f>
        <v>82420</v>
      </c>
      <c r="D14" s="10">
        <f t="shared" si="1"/>
        <v>16430</v>
      </c>
      <c r="E14" s="10">
        <f t="shared" si="1"/>
        <v>2519</v>
      </c>
      <c r="F14" s="10">
        <f t="shared" si="1"/>
        <v>2324</v>
      </c>
      <c r="G14" s="10">
        <f>SUM(G5:G13)</f>
        <v>0</v>
      </c>
      <c r="H14" s="10">
        <f t="shared" si="1"/>
        <v>-11587</v>
      </c>
      <c r="I14" s="10">
        <f>SUM(I5:I13)</f>
        <v>0</v>
      </c>
      <c r="J14" s="10">
        <f>SUM(J5:J13)</f>
        <v>18330</v>
      </c>
      <c r="K14" s="10">
        <f t="shared" si="1"/>
        <v>61075.9</v>
      </c>
      <c r="L14" s="10">
        <f t="shared" si="1"/>
        <v>62908.176999999996</v>
      </c>
      <c r="M14" s="10">
        <f t="shared" si="1"/>
        <v>64795.42231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8" t="s">
        <v>60</v>
      </c>
      <c r="C16" s="13">
        <v>200</v>
      </c>
      <c r="D16" s="10"/>
      <c r="E16" s="10"/>
      <c r="F16" s="10"/>
      <c r="G16" s="10"/>
      <c r="H16" s="13">
        <f>E16+F16-D16</f>
        <v>0</v>
      </c>
      <c r="I16" s="10"/>
      <c r="J16" s="13">
        <v>0</v>
      </c>
      <c r="K16" s="13">
        <v>200</v>
      </c>
      <c r="L16" s="13">
        <f>K16*1.03</f>
        <v>206</v>
      </c>
      <c r="M16" s="13">
        <f>L16*1.03</f>
        <v>212.18</v>
      </c>
      <c r="N16" s="3"/>
      <c r="O16" s="3"/>
      <c r="P16" s="3"/>
      <c r="Q16" s="3"/>
      <c r="R16" s="3"/>
    </row>
    <row r="17" spans="2:18" ht="15">
      <c r="B17" s="8" t="s">
        <v>61</v>
      </c>
      <c r="C17" s="13">
        <v>1000</v>
      </c>
      <c r="D17" s="10"/>
      <c r="E17" s="10"/>
      <c r="F17" s="10"/>
      <c r="G17" s="10"/>
      <c r="H17" s="13">
        <f>E17+F17-D17</f>
        <v>0</v>
      </c>
      <c r="I17" s="10"/>
      <c r="J17" s="13">
        <v>0</v>
      </c>
      <c r="K17" s="13">
        <v>1000</v>
      </c>
      <c r="L17" s="13">
        <f>K17*1.03</f>
        <v>1030</v>
      </c>
      <c r="M17" s="13">
        <f>L17*1.03</f>
        <v>1060.9</v>
      </c>
      <c r="N17" s="3"/>
      <c r="O17" s="3"/>
      <c r="P17" s="3"/>
      <c r="Q17" s="3"/>
      <c r="R17" s="3"/>
    </row>
    <row r="18" spans="2:18" ht="15">
      <c r="B18" s="8" t="s">
        <v>62</v>
      </c>
      <c r="C18" s="13">
        <v>2000</v>
      </c>
      <c r="D18" s="10"/>
      <c r="E18" s="10"/>
      <c r="F18" s="10"/>
      <c r="G18" s="10"/>
      <c r="H18" s="13">
        <f>E18+F18-D18</f>
        <v>0</v>
      </c>
      <c r="I18" s="10"/>
      <c r="J18" s="13">
        <v>0</v>
      </c>
      <c r="K18" s="13">
        <v>2000</v>
      </c>
      <c r="L18" s="13">
        <f>K18*1.03</f>
        <v>2060</v>
      </c>
      <c r="M18" s="13">
        <f>L18*1.03</f>
        <v>2121.8</v>
      </c>
      <c r="N18" s="3"/>
      <c r="O18" s="3"/>
      <c r="P18" s="3"/>
      <c r="Q18" s="3"/>
      <c r="R18" s="3"/>
    </row>
    <row r="19" spans="2:18" ht="15">
      <c r="B19" s="8" t="s">
        <v>63</v>
      </c>
      <c r="C19" s="13">
        <v>100</v>
      </c>
      <c r="D19" s="10"/>
      <c r="E19" s="10"/>
      <c r="F19" s="10"/>
      <c r="G19" s="10"/>
      <c r="H19" s="13">
        <f>E19+F19-D19</f>
        <v>0</v>
      </c>
      <c r="I19" s="10"/>
      <c r="J19" s="13">
        <v>0</v>
      </c>
      <c r="K19" s="13">
        <v>100</v>
      </c>
      <c r="L19" s="13">
        <f>K19*1.03</f>
        <v>103</v>
      </c>
      <c r="M19" s="13">
        <f>L19*1.03</f>
        <v>106.09</v>
      </c>
      <c r="N19" s="3"/>
      <c r="O19" s="3"/>
      <c r="P19" s="3"/>
      <c r="Q19" s="3"/>
      <c r="R19" s="3"/>
    </row>
    <row r="20" spans="2:18" ht="15">
      <c r="B20" s="8" t="s">
        <v>64</v>
      </c>
      <c r="C20" s="13">
        <v>400</v>
      </c>
      <c r="D20" s="10"/>
      <c r="E20" s="10"/>
      <c r="F20" s="10"/>
      <c r="G20" s="10"/>
      <c r="H20" s="13">
        <f>E20+F20-D20</f>
        <v>0</v>
      </c>
      <c r="I20" s="10"/>
      <c r="J20" s="13">
        <v>0</v>
      </c>
      <c r="K20" s="13">
        <v>400</v>
      </c>
      <c r="L20" s="13">
        <f>K20*1.03</f>
        <v>412</v>
      </c>
      <c r="M20" s="13">
        <f>L20*1.03</f>
        <v>424.36</v>
      </c>
      <c r="N20" s="3"/>
      <c r="O20" s="3"/>
      <c r="P20" s="3"/>
      <c r="Q20" s="3"/>
      <c r="R20" s="3"/>
    </row>
    <row r="21" spans="2:18" ht="15">
      <c r="B21" s="18" t="s">
        <v>88</v>
      </c>
      <c r="C21" s="10">
        <f>SUM(C16:C20)</f>
        <v>3700</v>
      </c>
      <c r="D21" s="10">
        <f aca="true" t="shared" si="2" ref="D21:M21">SUM(D16:D20)</f>
        <v>0</v>
      </c>
      <c r="E21" s="10">
        <f t="shared" si="2"/>
        <v>0</v>
      </c>
      <c r="F21" s="10">
        <f t="shared" si="2"/>
        <v>0</v>
      </c>
      <c r="G21" s="10">
        <f>SUM(G16:G20)</f>
        <v>0</v>
      </c>
      <c r="H21" s="10">
        <f t="shared" si="2"/>
        <v>0</v>
      </c>
      <c r="I21" s="10">
        <f>SUM(I16:I20)</f>
        <v>0</v>
      </c>
      <c r="J21" s="10">
        <f>SUM(J16:J20)</f>
        <v>0</v>
      </c>
      <c r="K21" s="10">
        <f t="shared" si="2"/>
        <v>3700</v>
      </c>
      <c r="L21" s="10">
        <f t="shared" si="2"/>
        <v>3811</v>
      </c>
      <c r="M21" s="10">
        <f t="shared" si="2"/>
        <v>3925.3300000000004</v>
      </c>
      <c r="N21" s="3"/>
      <c r="O21" s="3"/>
      <c r="P21" s="3"/>
      <c r="Q21" s="3"/>
      <c r="R21" s="3"/>
    </row>
    <row r="22" spans="2:18" ht="15">
      <c r="B22" s="8"/>
      <c r="C22" s="13"/>
      <c r="D22" s="10"/>
      <c r="E22" s="10"/>
      <c r="F22" s="10"/>
      <c r="G22" s="10"/>
      <c r="H22" s="10"/>
      <c r="I22" s="10"/>
      <c r="J22" s="13"/>
      <c r="K22" s="10"/>
      <c r="L22" s="10"/>
      <c r="M22" s="10"/>
      <c r="N22" s="3"/>
      <c r="O22" s="3"/>
      <c r="P22" s="3"/>
      <c r="Q22" s="3"/>
      <c r="R22" s="3"/>
    </row>
    <row r="23" spans="2:18" ht="15">
      <c r="B23" s="6" t="s">
        <v>70</v>
      </c>
      <c r="C23" s="10">
        <f>C14+C21</f>
        <v>86120</v>
      </c>
      <c r="D23" s="10">
        <f aca="true" t="shared" si="3" ref="D23:M23">D14+D21</f>
        <v>16430</v>
      </c>
      <c r="E23" s="10">
        <f t="shared" si="3"/>
        <v>2519</v>
      </c>
      <c r="F23" s="10">
        <f t="shared" si="3"/>
        <v>2324</v>
      </c>
      <c r="G23" s="10">
        <f>G14+G21</f>
        <v>0</v>
      </c>
      <c r="H23" s="10">
        <f t="shared" si="3"/>
        <v>-11587</v>
      </c>
      <c r="I23" s="10">
        <f>I14+I21</f>
        <v>0</v>
      </c>
      <c r="J23" s="10">
        <f>J14+J21</f>
        <v>18330</v>
      </c>
      <c r="K23" s="10">
        <f t="shared" si="3"/>
        <v>64775.9</v>
      </c>
      <c r="L23" s="10">
        <f t="shared" si="3"/>
        <v>66719.177</v>
      </c>
      <c r="M23" s="10">
        <f t="shared" si="3"/>
        <v>68720.75231</v>
      </c>
      <c r="N23" s="3"/>
      <c r="O23" s="3"/>
      <c r="P23" s="3"/>
      <c r="Q23" s="3"/>
      <c r="R23" s="3"/>
    </row>
    <row r="24" spans="2:18" ht="15"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"/>
      <c r="O24" s="3"/>
      <c r="P24" s="3"/>
      <c r="Q24" s="3"/>
      <c r="R24" s="3"/>
    </row>
    <row r="25" spans="2:18" ht="15">
      <c r="B25" s="7"/>
      <c r="C25" s="13"/>
      <c r="D25" s="10"/>
      <c r="E25" s="10"/>
      <c r="F25" s="10"/>
      <c r="G25" s="10"/>
      <c r="H25" s="13">
        <f>E25+F25-D25</f>
        <v>0</v>
      </c>
      <c r="I25" s="10"/>
      <c r="J25" s="13"/>
      <c r="K25" s="13"/>
      <c r="L25" s="13"/>
      <c r="M25" s="13"/>
      <c r="N25" s="3"/>
      <c r="O25" s="3"/>
      <c r="P25" s="3"/>
      <c r="Q25" s="3"/>
      <c r="R25" s="3"/>
    </row>
    <row r="26" spans="2:18" ht="15">
      <c r="B26" s="7"/>
      <c r="C26" s="13"/>
      <c r="D26" s="10"/>
      <c r="E26" s="10"/>
      <c r="F26" s="10"/>
      <c r="G26" s="10"/>
      <c r="H26" s="13">
        <f>E26+F26-D26</f>
        <v>0</v>
      </c>
      <c r="I26" s="10"/>
      <c r="J26" s="13"/>
      <c r="K26" s="13"/>
      <c r="L26" s="13"/>
      <c r="M26" s="13"/>
      <c r="N26" s="3"/>
      <c r="O26" s="3"/>
      <c r="P26" s="3"/>
      <c r="Q26" s="3"/>
      <c r="R26" s="3"/>
    </row>
    <row r="27" spans="2:18" ht="15">
      <c r="B27" s="6" t="s">
        <v>0</v>
      </c>
      <c r="C27" s="10">
        <f>SUM(C25:C26)</f>
        <v>0</v>
      </c>
      <c r="D27" s="10">
        <f aca="true" t="shared" si="4" ref="D27:M27">SUM(D25:D26)</f>
        <v>0</v>
      </c>
      <c r="E27" s="10">
        <f t="shared" si="4"/>
        <v>0</v>
      </c>
      <c r="F27" s="10">
        <f t="shared" si="4"/>
        <v>0</v>
      </c>
      <c r="G27" s="10">
        <f>SUM(G25:G26)</f>
        <v>0</v>
      </c>
      <c r="H27" s="10">
        <f t="shared" si="4"/>
        <v>0</v>
      </c>
      <c r="I27" s="10">
        <f>SUM(I25:I26)</f>
        <v>0</v>
      </c>
      <c r="J27" s="10">
        <f>SUM(J25:J26)</f>
        <v>0</v>
      </c>
      <c r="K27" s="10">
        <f t="shared" si="4"/>
        <v>0</v>
      </c>
      <c r="L27" s="10">
        <f t="shared" si="4"/>
        <v>0</v>
      </c>
      <c r="M27" s="10">
        <f t="shared" si="4"/>
        <v>0</v>
      </c>
      <c r="N27" s="3"/>
      <c r="O27" s="3"/>
      <c r="P27" s="3"/>
      <c r="Q27" s="3"/>
      <c r="R27" s="3"/>
    </row>
    <row r="28" spans="2:18" ht="1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/>
      <c r="O28" s="3"/>
      <c r="P28" s="3"/>
      <c r="Q28" s="3"/>
      <c r="R28" s="3"/>
    </row>
    <row r="29" spans="2:18" ht="15">
      <c r="B29" s="6" t="s">
        <v>73</v>
      </c>
      <c r="C29" s="10">
        <f aca="true" t="shared" si="5" ref="C29:M29">C23+C27</f>
        <v>86120</v>
      </c>
      <c r="D29" s="10">
        <f t="shared" si="5"/>
        <v>16430</v>
      </c>
      <c r="E29" s="10">
        <f t="shared" si="5"/>
        <v>2519</v>
      </c>
      <c r="F29" s="10">
        <f t="shared" si="5"/>
        <v>2324</v>
      </c>
      <c r="G29" s="10">
        <f>G23+G27</f>
        <v>0</v>
      </c>
      <c r="H29" s="10">
        <f t="shared" si="5"/>
        <v>-11587</v>
      </c>
      <c r="I29" s="10">
        <f>I23+I27</f>
        <v>0</v>
      </c>
      <c r="J29" s="10">
        <f>J23+J27</f>
        <v>18330</v>
      </c>
      <c r="K29" s="10">
        <f t="shared" si="5"/>
        <v>64775.9</v>
      </c>
      <c r="L29" s="10">
        <f t="shared" si="5"/>
        <v>66719.177</v>
      </c>
      <c r="M29" s="10">
        <f t="shared" si="5"/>
        <v>68720.75231</v>
      </c>
      <c r="N29" s="3"/>
      <c r="O29" s="3"/>
      <c r="P29" s="3"/>
      <c r="Q29" s="3"/>
      <c r="R29" s="3"/>
    </row>
    <row r="31" ht="15">
      <c r="B31" s="24"/>
    </row>
    <row r="33" ht="15">
      <c r="B33" s="20"/>
    </row>
    <row r="34" ht="15">
      <c r="B34" s="20"/>
    </row>
    <row r="37" ht="15">
      <c r="B37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4"/>
  <sheetViews>
    <sheetView zoomScalePageLayoutView="0" workbookViewId="0" topLeftCell="A37">
      <selection activeCell="B54" sqref="B54:V6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12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40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39" t="s">
        <v>14</v>
      </c>
      <c r="C5" s="38">
        <v>60000</v>
      </c>
      <c r="D5" s="13">
        <f>C5/2</f>
        <v>30000</v>
      </c>
      <c r="E5" s="10"/>
      <c r="F5" s="10"/>
      <c r="G5" s="10"/>
      <c r="H5" s="13">
        <f>E5+F5-D5</f>
        <v>-30000</v>
      </c>
      <c r="I5" s="13"/>
      <c r="J5" s="13">
        <v>20000</v>
      </c>
      <c r="K5" s="38">
        <v>60000</v>
      </c>
      <c r="L5" s="38">
        <v>60000</v>
      </c>
      <c r="M5" s="38">
        <v>60000</v>
      </c>
      <c r="N5" s="3"/>
      <c r="O5" s="3"/>
      <c r="P5" s="3"/>
      <c r="Q5" s="3"/>
      <c r="R5" s="3"/>
    </row>
    <row r="6" spans="2:18" ht="15">
      <c r="B6" s="39" t="s">
        <v>15</v>
      </c>
      <c r="C6" s="38">
        <v>35000</v>
      </c>
      <c r="D6" s="13">
        <f aca="true" t="shared" si="0" ref="D6:D12">C6/2</f>
        <v>17500</v>
      </c>
      <c r="E6" s="10"/>
      <c r="F6" s="10"/>
      <c r="G6" s="10"/>
      <c r="H6" s="13">
        <f>E6+F6-D6</f>
        <v>-17500</v>
      </c>
      <c r="I6" s="13"/>
      <c r="J6" s="13">
        <v>12000</v>
      </c>
      <c r="K6" s="38">
        <v>35000</v>
      </c>
      <c r="L6" s="38">
        <v>35000</v>
      </c>
      <c r="M6" s="38">
        <v>35000</v>
      </c>
      <c r="N6" s="3"/>
      <c r="O6" s="3"/>
      <c r="P6" s="3"/>
      <c r="Q6" s="3"/>
      <c r="R6" s="3"/>
    </row>
    <row r="7" spans="2:18" ht="15">
      <c r="B7" s="39" t="s">
        <v>16</v>
      </c>
      <c r="C7" s="38">
        <v>35000</v>
      </c>
      <c r="D7" s="13">
        <f t="shared" si="0"/>
        <v>17500</v>
      </c>
      <c r="E7" s="10"/>
      <c r="F7" s="10"/>
      <c r="G7" s="10"/>
      <c r="H7" s="13">
        <f>E7+F7-D7</f>
        <v>-17500</v>
      </c>
      <c r="I7" s="13"/>
      <c r="J7" s="13">
        <v>0</v>
      </c>
      <c r="K7" s="38">
        <v>35000</v>
      </c>
      <c r="L7" s="38">
        <v>35000</v>
      </c>
      <c r="M7" s="38">
        <v>35000</v>
      </c>
      <c r="N7" s="3"/>
      <c r="O7" s="3"/>
      <c r="P7" s="3"/>
      <c r="Q7" s="3"/>
      <c r="R7" s="3"/>
    </row>
    <row r="8" spans="2:18" ht="15">
      <c r="B8" s="39" t="s">
        <v>17</v>
      </c>
      <c r="C8" s="38">
        <v>28000</v>
      </c>
      <c r="D8" s="13">
        <f t="shared" si="0"/>
        <v>14000</v>
      </c>
      <c r="E8" s="10"/>
      <c r="F8" s="10"/>
      <c r="G8" s="10"/>
      <c r="H8" s="13">
        <f>E8+F8-D8</f>
        <v>-14000</v>
      </c>
      <c r="I8" s="13"/>
      <c r="J8" s="13">
        <v>0</v>
      </c>
      <c r="K8" s="38">
        <v>28000</v>
      </c>
      <c r="L8" s="38">
        <v>28000</v>
      </c>
      <c r="M8" s="38">
        <v>28000</v>
      </c>
      <c r="N8" s="3"/>
      <c r="O8" s="3"/>
      <c r="P8" s="3"/>
      <c r="Q8" s="3"/>
      <c r="R8" s="3"/>
    </row>
    <row r="9" spans="2:18" ht="15.75" thickBot="1">
      <c r="B9" s="39" t="s">
        <v>18</v>
      </c>
      <c r="C9" s="41">
        <v>25000</v>
      </c>
      <c r="D9" s="42">
        <f t="shared" si="0"/>
        <v>12500</v>
      </c>
      <c r="E9" s="43"/>
      <c r="F9" s="43"/>
      <c r="G9" s="43"/>
      <c r="H9" s="42">
        <f>E9+F9-D9</f>
        <v>-12500</v>
      </c>
      <c r="I9" s="42"/>
      <c r="J9" s="42">
        <v>8500</v>
      </c>
      <c r="K9" s="41">
        <v>25000</v>
      </c>
      <c r="L9" s="41">
        <v>25000</v>
      </c>
      <c r="M9" s="41">
        <v>25000</v>
      </c>
      <c r="N9" s="3"/>
      <c r="O9" s="3"/>
      <c r="P9" s="3"/>
      <c r="Q9" s="3"/>
      <c r="R9" s="3"/>
    </row>
    <row r="10" spans="2:18" ht="15">
      <c r="B10" s="8" t="s">
        <v>111</v>
      </c>
      <c r="C10" s="44">
        <f>SUM(C5:C9)</f>
        <v>183000</v>
      </c>
      <c r="D10" s="44">
        <f aca="true" t="shared" si="1" ref="D10:M10">SUM(D5:D9)</f>
        <v>91500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-91500</v>
      </c>
      <c r="I10" s="44">
        <f t="shared" si="1"/>
        <v>0</v>
      </c>
      <c r="J10" s="44">
        <f t="shared" si="1"/>
        <v>40500</v>
      </c>
      <c r="K10" s="44">
        <f t="shared" si="1"/>
        <v>183000</v>
      </c>
      <c r="L10" s="44">
        <f t="shared" si="1"/>
        <v>183000</v>
      </c>
      <c r="M10" s="44">
        <f t="shared" si="1"/>
        <v>183000</v>
      </c>
      <c r="N10" s="3"/>
      <c r="O10" s="3"/>
      <c r="P10" s="3"/>
      <c r="Q10" s="3"/>
      <c r="R10" s="3"/>
    </row>
    <row r="11" spans="2:18" ht="15">
      <c r="B11" s="39" t="s">
        <v>112</v>
      </c>
      <c r="C11" s="13">
        <v>24300</v>
      </c>
      <c r="D11" s="13">
        <f t="shared" si="0"/>
        <v>12150</v>
      </c>
      <c r="E11" s="10"/>
      <c r="F11" s="10"/>
      <c r="G11" s="10"/>
      <c r="H11" s="13">
        <f>E11+F11-D11</f>
        <v>-12150</v>
      </c>
      <c r="I11" s="13"/>
      <c r="J11" s="13">
        <f>J10*13.3%</f>
        <v>5386.5</v>
      </c>
      <c r="K11" s="13">
        <v>24300</v>
      </c>
      <c r="L11" s="13">
        <v>24300</v>
      </c>
      <c r="M11" s="13">
        <v>24300</v>
      </c>
      <c r="N11" s="3"/>
      <c r="O11" s="3"/>
      <c r="P11" s="3"/>
      <c r="Q11" s="3"/>
      <c r="R11" s="3"/>
    </row>
    <row r="12" spans="2:18" ht="15">
      <c r="B12" s="39" t="s">
        <v>113</v>
      </c>
      <c r="C12" s="13">
        <v>29300</v>
      </c>
      <c r="D12" s="13">
        <f t="shared" si="0"/>
        <v>14650</v>
      </c>
      <c r="E12" s="10"/>
      <c r="F12" s="10"/>
      <c r="G12" s="10"/>
      <c r="H12" s="13">
        <f>E12+F12-D12</f>
        <v>-14650</v>
      </c>
      <c r="I12" s="13"/>
      <c r="J12" s="13">
        <f>J10*25%</f>
        <v>10125</v>
      </c>
      <c r="K12" s="13">
        <f>K10*25%</f>
        <v>45750</v>
      </c>
      <c r="L12" s="13">
        <f>L10*25%</f>
        <v>45750</v>
      </c>
      <c r="M12" s="13">
        <f>M10*25%</f>
        <v>45750</v>
      </c>
      <c r="N12" s="3"/>
      <c r="O12" s="3"/>
      <c r="P12" s="3"/>
      <c r="Q12" s="3"/>
      <c r="R12" s="3"/>
    </row>
    <row r="13" spans="2:18" ht="15">
      <c r="B13" s="39" t="s">
        <v>143</v>
      </c>
      <c r="C13" s="13">
        <v>0</v>
      </c>
      <c r="D13" s="13">
        <v>0</v>
      </c>
      <c r="E13" s="13">
        <v>21875</v>
      </c>
      <c r="F13" s="10"/>
      <c r="G13" s="10"/>
      <c r="H13" s="13">
        <f>E13+F13-D13</f>
        <v>21875</v>
      </c>
      <c r="I13" s="13">
        <v>4375</v>
      </c>
      <c r="J13" s="13">
        <v>38560</v>
      </c>
      <c r="K13" s="13">
        <v>0</v>
      </c>
      <c r="L13" s="13">
        <v>0</v>
      </c>
      <c r="M13" s="13">
        <v>0</v>
      </c>
      <c r="N13" s="3"/>
      <c r="O13" s="3"/>
      <c r="P13" s="3"/>
      <c r="Q13" s="3"/>
      <c r="R13" s="3"/>
    </row>
    <row r="14" spans="2:18" ht="15">
      <c r="B14" s="45" t="s">
        <v>114</v>
      </c>
      <c r="C14" s="10">
        <f>SUM(C10:C13)</f>
        <v>236600</v>
      </c>
      <c r="D14" s="10">
        <f aca="true" t="shared" si="2" ref="D14:M14">SUM(D10:D13)</f>
        <v>118300</v>
      </c>
      <c r="E14" s="10">
        <f t="shared" si="2"/>
        <v>21875</v>
      </c>
      <c r="F14" s="10">
        <f t="shared" si="2"/>
        <v>0</v>
      </c>
      <c r="G14" s="10">
        <f t="shared" si="2"/>
        <v>0</v>
      </c>
      <c r="H14" s="10">
        <f t="shared" si="2"/>
        <v>-96425</v>
      </c>
      <c r="I14" s="10">
        <f t="shared" si="2"/>
        <v>4375</v>
      </c>
      <c r="J14" s="10">
        <f t="shared" si="2"/>
        <v>94571.5</v>
      </c>
      <c r="K14" s="10">
        <f t="shared" si="2"/>
        <v>253050</v>
      </c>
      <c r="L14" s="10">
        <f t="shared" si="2"/>
        <v>253050</v>
      </c>
      <c r="M14" s="10">
        <f t="shared" si="2"/>
        <v>253050</v>
      </c>
      <c r="N14" s="3"/>
      <c r="O14" s="3"/>
      <c r="P14" s="3"/>
      <c r="Q14" s="3"/>
      <c r="R14" s="3"/>
    </row>
    <row r="15" spans="2:18" ht="15">
      <c r="B15" s="4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11" t="s">
        <v>19</v>
      </c>
      <c r="C16" s="13">
        <v>7000</v>
      </c>
      <c r="D16" s="13">
        <f>C16/2</f>
        <v>3500</v>
      </c>
      <c r="E16" s="13">
        <v>545</v>
      </c>
      <c r="F16" s="10"/>
      <c r="G16" s="10"/>
      <c r="H16" s="13">
        <f>E16+F16-D16</f>
        <v>-2955</v>
      </c>
      <c r="I16" s="13"/>
      <c r="J16" s="13">
        <v>3500</v>
      </c>
      <c r="K16" s="13">
        <v>7000</v>
      </c>
      <c r="L16" s="13">
        <v>7000</v>
      </c>
      <c r="M16" s="13">
        <v>7000</v>
      </c>
      <c r="N16" s="3"/>
      <c r="O16" s="3"/>
      <c r="P16" s="3"/>
      <c r="Q16" s="3"/>
      <c r="R16" s="3"/>
    </row>
    <row r="17" spans="2:18" ht="15">
      <c r="B17" s="45" t="s">
        <v>115</v>
      </c>
      <c r="C17" s="10">
        <f>C16</f>
        <v>7000</v>
      </c>
      <c r="D17" s="10">
        <f aca="true" t="shared" si="3" ref="D17:M17">D16</f>
        <v>3500</v>
      </c>
      <c r="E17" s="10">
        <f t="shared" si="3"/>
        <v>545</v>
      </c>
      <c r="F17" s="10">
        <f t="shared" si="3"/>
        <v>0</v>
      </c>
      <c r="G17" s="10">
        <f t="shared" si="3"/>
        <v>0</v>
      </c>
      <c r="H17" s="10">
        <f t="shared" si="3"/>
        <v>-2955</v>
      </c>
      <c r="I17" s="10">
        <f t="shared" si="3"/>
        <v>0</v>
      </c>
      <c r="J17" s="10">
        <f>J16</f>
        <v>3500</v>
      </c>
      <c r="K17" s="10">
        <f t="shared" si="3"/>
        <v>7000</v>
      </c>
      <c r="L17" s="10">
        <f t="shared" si="3"/>
        <v>7000</v>
      </c>
      <c r="M17" s="10">
        <f t="shared" si="3"/>
        <v>7000</v>
      </c>
      <c r="N17" s="3"/>
      <c r="O17" s="3"/>
      <c r="P17" s="3"/>
      <c r="Q17" s="3"/>
      <c r="R17" s="3"/>
    </row>
    <row r="18" spans="2:18" ht="15">
      <c r="B18" s="4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2:18" ht="15">
      <c r="B19" s="11" t="s">
        <v>116</v>
      </c>
      <c r="C19" s="13">
        <v>1500</v>
      </c>
      <c r="D19" s="13">
        <f>C19/2</f>
        <v>750</v>
      </c>
      <c r="E19" s="10"/>
      <c r="F19" s="10"/>
      <c r="G19" s="10"/>
      <c r="H19" s="13">
        <f>E19+F19-D19</f>
        <v>-750</v>
      </c>
      <c r="I19" s="13"/>
      <c r="J19" s="13">
        <v>750</v>
      </c>
      <c r="K19" s="13">
        <v>1500</v>
      </c>
      <c r="L19" s="13">
        <v>1500</v>
      </c>
      <c r="M19" s="13">
        <v>1500</v>
      </c>
      <c r="N19" s="3"/>
      <c r="O19" s="3"/>
      <c r="P19" s="3"/>
      <c r="Q19" s="3"/>
      <c r="R19" s="3"/>
    </row>
    <row r="20" spans="2:18" ht="15">
      <c r="B20" s="45" t="s">
        <v>117</v>
      </c>
      <c r="C20" s="10">
        <f aca="true" t="shared" si="4" ref="C20:M20">C19</f>
        <v>1500</v>
      </c>
      <c r="D20" s="10">
        <f t="shared" si="4"/>
        <v>750</v>
      </c>
      <c r="E20" s="10">
        <f t="shared" si="4"/>
        <v>0</v>
      </c>
      <c r="F20" s="10">
        <f t="shared" si="4"/>
        <v>0</v>
      </c>
      <c r="G20" s="10">
        <f t="shared" si="4"/>
        <v>0</v>
      </c>
      <c r="H20" s="10">
        <f t="shared" si="4"/>
        <v>-750</v>
      </c>
      <c r="I20" s="10">
        <f t="shared" si="4"/>
        <v>0</v>
      </c>
      <c r="J20" s="10">
        <f>J19</f>
        <v>750</v>
      </c>
      <c r="K20" s="10">
        <f t="shared" si="4"/>
        <v>1500</v>
      </c>
      <c r="L20" s="10">
        <f t="shared" si="4"/>
        <v>1500</v>
      </c>
      <c r="M20" s="10">
        <f t="shared" si="4"/>
        <v>1500</v>
      </c>
      <c r="N20" s="3"/>
      <c r="O20" s="3"/>
      <c r="P20" s="3"/>
      <c r="Q20" s="3"/>
      <c r="R20" s="3"/>
    </row>
    <row r="21" spans="2:18" ht="15">
      <c r="B21" s="4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  <c r="O21" s="3"/>
      <c r="P21" s="3"/>
      <c r="Q21" s="3"/>
      <c r="R21" s="3"/>
    </row>
    <row r="22" spans="2:18" ht="15">
      <c r="B22" s="39" t="s">
        <v>20</v>
      </c>
      <c r="C22" s="38">
        <v>2000</v>
      </c>
      <c r="D22" s="13">
        <f aca="true" t="shared" si="5" ref="D22:D36">C22/2</f>
        <v>1000</v>
      </c>
      <c r="E22" s="10"/>
      <c r="F22" s="10"/>
      <c r="G22" s="10"/>
      <c r="H22" s="13">
        <f aca="true" t="shared" si="6" ref="H22:H37">E22+F22-D22</f>
        <v>-1000</v>
      </c>
      <c r="I22" s="13"/>
      <c r="J22" s="38">
        <v>1000</v>
      </c>
      <c r="K22" s="38">
        <v>2000</v>
      </c>
      <c r="L22" s="38">
        <v>2000</v>
      </c>
      <c r="M22" s="38">
        <v>2000</v>
      </c>
      <c r="N22" s="3"/>
      <c r="O22" s="3"/>
      <c r="P22" s="3"/>
      <c r="Q22" s="3"/>
      <c r="R22" s="3"/>
    </row>
    <row r="23" spans="2:18" ht="15">
      <c r="B23" s="39" t="s">
        <v>21</v>
      </c>
      <c r="C23" s="38">
        <v>5000</v>
      </c>
      <c r="D23" s="13">
        <f t="shared" si="5"/>
        <v>2500</v>
      </c>
      <c r="E23" s="10"/>
      <c r="F23" s="10"/>
      <c r="G23" s="10"/>
      <c r="H23" s="13">
        <f t="shared" si="6"/>
        <v>-2500</v>
      </c>
      <c r="I23" s="13"/>
      <c r="J23" s="38">
        <v>2500</v>
      </c>
      <c r="K23" s="38">
        <v>5000</v>
      </c>
      <c r="L23" s="38">
        <v>5000</v>
      </c>
      <c r="M23" s="38">
        <v>5000</v>
      </c>
      <c r="N23" s="3"/>
      <c r="O23" s="3"/>
      <c r="P23" s="3"/>
      <c r="Q23" s="3"/>
      <c r="R23" s="3"/>
    </row>
    <row r="24" spans="2:18" ht="15">
      <c r="B24" s="39" t="s">
        <v>22</v>
      </c>
      <c r="C24" s="38">
        <v>2500</v>
      </c>
      <c r="D24" s="13">
        <f t="shared" si="5"/>
        <v>1250</v>
      </c>
      <c r="E24" s="13">
        <v>80</v>
      </c>
      <c r="F24" s="13"/>
      <c r="G24" s="13"/>
      <c r="H24" s="13">
        <f t="shared" si="6"/>
        <v>-1170</v>
      </c>
      <c r="I24" s="13"/>
      <c r="J24" s="38">
        <v>1500</v>
      </c>
      <c r="K24" s="38">
        <v>2500</v>
      </c>
      <c r="L24" s="38">
        <v>2500</v>
      </c>
      <c r="M24" s="38">
        <v>2500</v>
      </c>
      <c r="N24" s="3"/>
      <c r="O24" s="3"/>
      <c r="P24" s="3"/>
      <c r="Q24" s="3"/>
      <c r="R24" s="3"/>
    </row>
    <row r="25" spans="2:18" ht="15">
      <c r="B25" s="39" t="s">
        <v>23</v>
      </c>
      <c r="C25" s="38">
        <v>4000</v>
      </c>
      <c r="D25" s="13">
        <f t="shared" si="5"/>
        <v>2000</v>
      </c>
      <c r="E25" s="10"/>
      <c r="F25" s="10"/>
      <c r="G25" s="10"/>
      <c r="H25" s="13">
        <f t="shared" si="6"/>
        <v>-2000</v>
      </c>
      <c r="I25" s="13"/>
      <c r="J25" s="38">
        <v>2000</v>
      </c>
      <c r="K25" s="38">
        <v>4000</v>
      </c>
      <c r="L25" s="38">
        <v>4000</v>
      </c>
      <c r="M25" s="38">
        <v>4000</v>
      </c>
      <c r="N25" s="3"/>
      <c r="O25" s="3"/>
      <c r="P25" s="3"/>
      <c r="Q25" s="3"/>
      <c r="R25" s="3"/>
    </row>
    <row r="26" spans="2:18" ht="15">
      <c r="B26" s="39" t="s">
        <v>24</v>
      </c>
      <c r="C26" s="38">
        <v>7000</v>
      </c>
      <c r="D26" s="13">
        <f t="shared" si="5"/>
        <v>3500</v>
      </c>
      <c r="E26" s="10"/>
      <c r="F26" s="10"/>
      <c r="G26" s="10"/>
      <c r="H26" s="13">
        <f t="shared" si="6"/>
        <v>-3500</v>
      </c>
      <c r="I26" s="13"/>
      <c r="J26" s="38">
        <v>3500</v>
      </c>
      <c r="K26" s="38">
        <v>7000</v>
      </c>
      <c r="L26" s="38">
        <v>7000</v>
      </c>
      <c r="M26" s="38">
        <v>7000</v>
      </c>
      <c r="N26" s="3"/>
      <c r="O26" s="3"/>
      <c r="P26" s="3"/>
      <c r="Q26" s="3"/>
      <c r="R26" s="3"/>
    </row>
    <row r="27" spans="2:18" ht="15">
      <c r="B27" s="39" t="s">
        <v>25</v>
      </c>
      <c r="C27" s="38">
        <v>2000</v>
      </c>
      <c r="D27" s="13">
        <f t="shared" si="5"/>
        <v>1000</v>
      </c>
      <c r="E27" s="10"/>
      <c r="F27" s="10"/>
      <c r="G27" s="10"/>
      <c r="H27" s="13">
        <f t="shared" si="6"/>
        <v>-1000</v>
      </c>
      <c r="I27" s="13"/>
      <c r="J27" s="38">
        <v>1000</v>
      </c>
      <c r="K27" s="38">
        <v>2000</v>
      </c>
      <c r="L27" s="38">
        <v>2000</v>
      </c>
      <c r="M27" s="38">
        <v>2000</v>
      </c>
      <c r="N27" s="3"/>
      <c r="O27" s="3"/>
      <c r="P27" s="3"/>
      <c r="Q27" s="3"/>
      <c r="R27" s="3"/>
    </row>
    <row r="28" spans="2:18" ht="15">
      <c r="B28" s="39" t="s">
        <v>26</v>
      </c>
      <c r="C28" s="38">
        <v>3000</v>
      </c>
      <c r="D28" s="13">
        <v>0</v>
      </c>
      <c r="E28" s="10"/>
      <c r="F28" s="10"/>
      <c r="G28" s="10"/>
      <c r="H28" s="13">
        <f t="shared" si="6"/>
        <v>0</v>
      </c>
      <c r="I28" s="13"/>
      <c r="J28" s="38">
        <v>3000</v>
      </c>
      <c r="K28" s="38">
        <v>3000</v>
      </c>
      <c r="L28" s="38">
        <v>3000</v>
      </c>
      <c r="M28" s="38">
        <v>3000</v>
      </c>
      <c r="N28" s="3"/>
      <c r="O28" s="3"/>
      <c r="P28" s="3"/>
      <c r="Q28" s="3"/>
      <c r="R28" s="3"/>
    </row>
    <row r="29" spans="2:18" ht="15">
      <c r="B29" s="39" t="s">
        <v>27</v>
      </c>
      <c r="C29" s="38">
        <v>1000</v>
      </c>
      <c r="D29" s="13">
        <v>0</v>
      </c>
      <c r="E29" s="10"/>
      <c r="F29" s="10"/>
      <c r="G29" s="10"/>
      <c r="H29" s="13">
        <f t="shared" si="6"/>
        <v>0</v>
      </c>
      <c r="I29" s="13"/>
      <c r="J29" s="38">
        <v>1000</v>
      </c>
      <c r="K29" s="38">
        <v>1000</v>
      </c>
      <c r="L29" s="38">
        <v>1000</v>
      </c>
      <c r="M29" s="38">
        <v>1000</v>
      </c>
      <c r="N29" s="3"/>
      <c r="O29" s="3"/>
      <c r="P29" s="3"/>
      <c r="Q29" s="3"/>
      <c r="R29" s="3"/>
    </row>
    <row r="30" spans="2:18" ht="15">
      <c r="B30" s="39" t="s">
        <v>28</v>
      </c>
      <c r="C30" s="38">
        <v>16000</v>
      </c>
      <c r="D30" s="13">
        <v>16000</v>
      </c>
      <c r="E30" s="13">
        <v>26316</v>
      </c>
      <c r="F30" s="13"/>
      <c r="G30" s="13"/>
      <c r="H30" s="13">
        <f t="shared" si="6"/>
        <v>10316</v>
      </c>
      <c r="I30" s="13"/>
      <c r="J30" s="13">
        <v>26316</v>
      </c>
      <c r="K30" s="13">
        <f>J30*1.05</f>
        <v>27631.800000000003</v>
      </c>
      <c r="L30" s="13">
        <f>K30*1.03</f>
        <v>28460.754000000004</v>
      </c>
      <c r="M30" s="13">
        <f>L30*1.03</f>
        <v>29314.576620000007</v>
      </c>
      <c r="N30" s="3"/>
      <c r="O30" s="3"/>
      <c r="P30" s="3"/>
      <c r="Q30" s="3"/>
      <c r="R30" s="3"/>
    </row>
    <row r="31" spans="2:18" ht="15">
      <c r="B31" s="39" t="s">
        <v>29</v>
      </c>
      <c r="C31" s="38">
        <v>3000</v>
      </c>
      <c r="D31" s="13">
        <f t="shared" si="5"/>
        <v>1500</v>
      </c>
      <c r="E31" s="13">
        <v>73</v>
      </c>
      <c r="F31" s="13"/>
      <c r="G31" s="13"/>
      <c r="H31" s="13">
        <f t="shared" si="6"/>
        <v>-1427</v>
      </c>
      <c r="I31" s="13"/>
      <c r="J31" s="38">
        <v>1500</v>
      </c>
      <c r="K31" s="38">
        <v>3000</v>
      </c>
      <c r="L31" s="38">
        <v>3000</v>
      </c>
      <c r="M31" s="38">
        <v>3000</v>
      </c>
      <c r="N31" s="3"/>
      <c r="O31" s="3"/>
      <c r="P31" s="3"/>
      <c r="Q31" s="3"/>
      <c r="R31" s="3"/>
    </row>
    <row r="32" spans="2:18" ht="15">
      <c r="B32" s="39" t="s">
        <v>30</v>
      </c>
      <c r="C32" s="38">
        <v>10000</v>
      </c>
      <c r="D32" s="13">
        <f t="shared" si="5"/>
        <v>5000</v>
      </c>
      <c r="E32" s="13">
        <v>460</v>
      </c>
      <c r="F32" s="13"/>
      <c r="G32" s="13"/>
      <c r="H32" s="13">
        <f t="shared" si="6"/>
        <v>-4540</v>
      </c>
      <c r="I32" s="13"/>
      <c r="J32" s="38">
        <v>10000</v>
      </c>
      <c r="K32" s="38">
        <v>10000</v>
      </c>
      <c r="L32" s="38">
        <v>10000</v>
      </c>
      <c r="M32" s="38">
        <v>10000</v>
      </c>
      <c r="N32" s="3"/>
      <c r="O32" s="3"/>
      <c r="P32" s="3"/>
      <c r="Q32" s="3"/>
      <c r="R32" s="3"/>
    </row>
    <row r="33" spans="2:18" ht="15">
      <c r="B33" s="39" t="s">
        <v>31</v>
      </c>
      <c r="C33" s="38">
        <v>3000</v>
      </c>
      <c r="D33" s="13">
        <f t="shared" si="5"/>
        <v>1500</v>
      </c>
      <c r="E33" s="13">
        <v>38</v>
      </c>
      <c r="F33" s="10"/>
      <c r="G33" s="10"/>
      <c r="H33" s="13">
        <f t="shared" si="6"/>
        <v>-1462</v>
      </c>
      <c r="I33" s="13"/>
      <c r="J33" s="38">
        <v>3000</v>
      </c>
      <c r="K33" s="38">
        <v>3000</v>
      </c>
      <c r="L33" s="38">
        <v>3000</v>
      </c>
      <c r="M33" s="38">
        <v>3000</v>
      </c>
      <c r="N33" s="3"/>
      <c r="O33" s="3"/>
      <c r="P33" s="3"/>
      <c r="Q33" s="3"/>
      <c r="R33" s="3"/>
    </row>
    <row r="34" spans="2:18" ht="15">
      <c r="B34" s="39" t="s">
        <v>32</v>
      </c>
      <c r="C34" s="38">
        <v>2000</v>
      </c>
      <c r="D34" s="13">
        <f t="shared" si="5"/>
        <v>1000</v>
      </c>
      <c r="E34" s="10"/>
      <c r="F34" s="10"/>
      <c r="G34" s="10"/>
      <c r="H34" s="13">
        <f t="shared" si="6"/>
        <v>-1000</v>
      </c>
      <c r="I34" s="13"/>
      <c r="J34" s="38">
        <v>1000</v>
      </c>
      <c r="K34" s="38">
        <v>2000</v>
      </c>
      <c r="L34" s="38">
        <v>2000</v>
      </c>
      <c r="M34" s="38">
        <v>2000</v>
      </c>
      <c r="N34" s="3"/>
      <c r="O34" s="3"/>
      <c r="P34" s="3"/>
      <c r="Q34" s="3"/>
      <c r="R34" s="3"/>
    </row>
    <row r="35" spans="2:18" ht="15">
      <c r="B35" s="39" t="s">
        <v>33</v>
      </c>
      <c r="C35" s="38">
        <v>3000</v>
      </c>
      <c r="D35" s="13">
        <f t="shared" si="5"/>
        <v>1500</v>
      </c>
      <c r="E35" s="13">
        <v>55</v>
      </c>
      <c r="F35" s="10"/>
      <c r="G35" s="10"/>
      <c r="H35" s="13">
        <f t="shared" si="6"/>
        <v>-1445</v>
      </c>
      <c r="I35" s="13"/>
      <c r="J35" s="38">
        <v>1500</v>
      </c>
      <c r="K35" s="38">
        <v>3000</v>
      </c>
      <c r="L35" s="38">
        <v>3000</v>
      </c>
      <c r="M35" s="38">
        <v>3000</v>
      </c>
      <c r="N35" s="3"/>
      <c r="O35" s="3"/>
      <c r="P35" s="3"/>
      <c r="Q35" s="3"/>
      <c r="R35" s="3"/>
    </row>
    <row r="36" spans="2:18" ht="15">
      <c r="B36" s="39" t="s">
        <v>144</v>
      </c>
      <c r="C36" s="38">
        <v>0</v>
      </c>
      <c r="D36" s="13">
        <f t="shared" si="5"/>
        <v>0</v>
      </c>
      <c r="E36" s="10"/>
      <c r="F36" s="10"/>
      <c r="G36" s="10"/>
      <c r="H36" s="13">
        <f t="shared" si="6"/>
        <v>0</v>
      </c>
      <c r="I36" s="13"/>
      <c r="J36" s="38">
        <v>19200</v>
      </c>
      <c r="K36" s="38">
        <v>0</v>
      </c>
      <c r="L36" s="38">
        <v>0</v>
      </c>
      <c r="M36" s="38">
        <v>0</v>
      </c>
      <c r="N36" s="3"/>
      <c r="O36" s="3"/>
      <c r="P36" s="3"/>
      <c r="Q36" s="3"/>
      <c r="R36" s="3"/>
    </row>
    <row r="37" spans="2:18" ht="15">
      <c r="B37" s="11" t="s">
        <v>13</v>
      </c>
      <c r="C37" s="13">
        <v>39660</v>
      </c>
      <c r="D37" s="13">
        <v>39660</v>
      </c>
      <c r="E37" s="10"/>
      <c r="F37" s="10"/>
      <c r="G37" s="10"/>
      <c r="H37" s="13">
        <f t="shared" si="6"/>
        <v>-39660</v>
      </c>
      <c r="I37" s="13"/>
      <c r="J37" s="13">
        <v>39660</v>
      </c>
      <c r="K37" s="13">
        <v>20000</v>
      </c>
      <c r="L37" s="13">
        <v>20000</v>
      </c>
      <c r="M37" s="13">
        <v>20000</v>
      </c>
      <c r="N37" s="3"/>
      <c r="O37" s="3"/>
      <c r="P37" s="3"/>
      <c r="Q37" s="3"/>
      <c r="R37" s="3"/>
    </row>
    <row r="38" spans="2:18" ht="15">
      <c r="B38" s="18" t="s">
        <v>88</v>
      </c>
      <c r="C38" s="10">
        <f>SUM(C22:C37)</f>
        <v>103160</v>
      </c>
      <c r="D38" s="10">
        <f aca="true" t="shared" si="7" ref="D38:M38">SUM(D22:D37)</f>
        <v>77410</v>
      </c>
      <c r="E38" s="10">
        <f t="shared" si="7"/>
        <v>27022</v>
      </c>
      <c r="F38" s="10">
        <f t="shared" si="7"/>
        <v>0</v>
      </c>
      <c r="G38" s="10">
        <f t="shared" si="7"/>
        <v>0</v>
      </c>
      <c r="H38" s="10">
        <f t="shared" si="7"/>
        <v>-50388</v>
      </c>
      <c r="I38" s="10">
        <f t="shared" si="7"/>
        <v>0</v>
      </c>
      <c r="J38" s="10">
        <f>SUM(J22:J37)</f>
        <v>117676</v>
      </c>
      <c r="K38" s="10">
        <f t="shared" si="7"/>
        <v>95131.8</v>
      </c>
      <c r="L38" s="10">
        <f t="shared" si="7"/>
        <v>95960.754</v>
      </c>
      <c r="M38" s="10">
        <f t="shared" si="7"/>
        <v>96814.57662</v>
      </c>
      <c r="N38" s="3"/>
      <c r="O38" s="3"/>
      <c r="P38" s="3"/>
      <c r="Q38" s="3"/>
      <c r="R38" s="3"/>
    </row>
    <row r="39" spans="2:18" ht="15">
      <c r="B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"/>
      <c r="O39" s="3"/>
      <c r="P39" s="3"/>
      <c r="Q39" s="3"/>
      <c r="R39" s="3"/>
    </row>
    <row r="40" spans="2:18" ht="15">
      <c r="B40" s="8" t="s">
        <v>44</v>
      </c>
      <c r="C40" s="13">
        <v>7000</v>
      </c>
      <c r="D40" s="10"/>
      <c r="E40" s="10"/>
      <c r="F40" s="10"/>
      <c r="G40" s="10"/>
      <c r="H40" s="13">
        <f>E40+F40-D40</f>
        <v>0</v>
      </c>
      <c r="I40" s="13"/>
      <c r="J40" s="13">
        <v>4000</v>
      </c>
      <c r="K40" s="13">
        <v>7000</v>
      </c>
      <c r="L40" s="13">
        <v>7000</v>
      </c>
      <c r="M40" s="13">
        <v>7000</v>
      </c>
      <c r="N40" s="3"/>
      <c r="O40" s="3"/>
      <c r="P40" s="3"/>
      <c r="Q40" s="3"/>
      <c r="R40" s="3"/>
    </row>
    <row r="41" spans="2:18" ht="15">
      <c r="B41" s="18" t="s">
        <v>118</v>
      </c>
      <c r="C41" s="10">
        <f>C40</f>
        <v>7000</v>
      </c>
      <c r="D41" s="10">
        <f aca="true" t="shared" si="8" ref="D41:M41">D40</f>
        <v>0</v>
      </c>
      <c r="E41" s="10">
        <f t="shared" si="8"/>
        <v>0</v>
      </c>
      <c r="F41" s="10">
        <f t="shared" si="8"/>
        <v>0</v>
      </c>
      <c r="G41" s="10">
        <f t="shared" si="8"/>
        <v>0</v>
      </c>
      <c r="H41" s="10">
        <f t="shared" si="8"/>
        <v>0</v>
      </c>
      <c r="I41" s="10">
        <f t="shared" si="8"/>
        <v>0</v>
      </c>
      <c r="J41" s="10">
        <f>J40</f>
        <v>4000</v>
      </c>
      <c r="K41" s="10">
        <f t="shared" si="8"/>
        <v>7000</v>
      </c>
      <c r="L41" s="10">
        <f t="shared" si="8"/>
        <v>7000</v>
      </c>
      <c r="M41" s="10">
        <f t="shared" si="8"/>
        <v>7000</v>
      </c>
      <c r="N41" s="3"/>
      <c r="O41" s="3"/>
      <c r="P41" s="3"/>
      <c r="Q41" s="3"/>
      <c r="R41" s="3"/>
    </row>
    <row r="42" spans="2:18" ht="15">
      <c r="B42" s="1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/>
      <c r="O42" s="3"/>
      <c r="P42" s="3"/>
      <c r="Q42" s="3"/>
      <c r="R42" s="3"/>
    </row>
    <row r="43" spans="2:18" ht="15">
      <c r="B43" s="8" t="s">
        <v>156</v>
      </c>
      <c r="C43" s="10"/>
      <c r="D43" s="10"/>
      <c r="E43" s="10"/>
      <c r="F43" s="10"/>
      <c r="G43" s="10"/>
      <c r="H43" s="10"/>
      <c r="I43" s="13">
        <v>220</v>
      </c>
      <c r="J43" s="10"/>
      <c r="K43" s="10"/>
      <c r="L43" s="10"/>
      <c r="M43" s="10"/>
      <c r="N43" s="3"/>
      <c r="O43" s="3"/>
      <c r="P43" s="3"/>
      <c r="Q43" s="3"/>
      <c r="R43" s="3"/>
    </row>
    <row r="44" spans="2:18" ht="15">
      <c r="B44" s="8" t="s">
        <v>46</v>
      </c>
      <c r="C44" s="13">
        <v>100000</v>
      </c>
      <c r="D44" s="10"/>
      <c r="E44" s="10"/>
      <c r="F44" s="10"/>
      <c r="G44" s="10"/>
      <c r="H44" s="13">
        <f>E44+F44-D44</f>
        <v>0</v>
      </c>
      <c r="I44" s="13"/>
      <c r="J44" s="13">
        <v>0</v>
      </c>
      <c r="K44" s="13">
        <v>100000</v>
      </c>
      <c r="L44" s="13">
        <v>100000</v>
      </c>
      <c r="M44" s="13">
        <v>100000</v>
      </c>
      <c r="N44" s="3"/>
      <c r="O44" s="3"/>
      <c r="P44" s="3"/>
      <c r="Q44" s="3"/>
      <c r="R44" s="3"/>
    </row>
    <row r="45" spans="2:18" ht="15">
      <c r="B45" s="18" t="s">
        <v>119</v>
      </c>
      <c r="C45" s="10">
        <f>SUM(C43:C44)</f>
        <v>100000</v>
      </c>
      <c r="D45" s="10">
        <f aca="true" t="shared" si="9" ref="D45:M45">SUM(D43:D44)</f>
        <v>0</v>
      </c>
      <c r="E45" s="10">
        <f t="shared" si="9"/>
        <v>0</v>
      </c>
      <c r="F45" s="10">
        <f t="shared" si="9"/>
        <v>0</v>
      </c>
      <c r="G45" s="10">
        <f t="shared" si="9"/>
        <v>0</v>
      </c>
      <c r="H45" s="10">
        <f t="shared" si="9"/>
        <v>0</v>
      </c>
      <c r="I45" s="10">
        <f t="shared" si="9"/>
        <v>220</v>
      </c>
      <c r="J45" s="10">
        <f t="shared" si="9"/>
        <v>0</v>
      </c>
      <c r="K45" s="10">
        <f t="shared" si="9"/>
        <v>100000</v>
      </c>
      <c r="L45" s="10">
        <f t="shared" si="9"/>
        <v>100000</v>
      </c>
      <c r="M45" s="10">
        <f t="shared" si="9"/>
        <v>100000</v>
      </c>
      <c r="N45" s="3"/>
      <c r="O45" s="3"/>
      <c r="P45" s="3"/>
      <c r="Q45" s="3"/>
      <c r="R45" s="3"/>
    </row>
    <row r="46" spans="2:18" ht="15">
      <c r="B46" s="8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</row>
    <row r="47" spans="2:18" ht="15">
      <c r="B47" s="6" t="s">
        <v>70</v>
      </c>
      <c r="C47" s="10">
        <f>C14+C17+C20+C38+C41+C45</f>
        <v>455260</v>
      </c>
      <c r="D47" s="10">
        <f aca="true" t="shared" si="10" ref="D47:M47">D14+D17+D20+D38+D41+D45</f>
        <v>199960</v>
      </c>
      <c r="E47" s="10">
        <f t="shared" si="10"/>
        <v>49442</v>
      </c>
      <c r="F47" s="10">
        <f t="shared" si="10"/>
        <v>0</v>
      </c>
      <c r="G47" s="10">
        <f t="shared" si="10"/>
        <v>0</v>
      </c>
      <c r="H47" s="10">
        <f t="shared" si="10"/>
        <v>-150518</v>
      </c>
      <c r="I47" s="10">
        <f t="shared" si="10"/>
        <v>4595</v>
      </c>
      <c r="J47" s="10">
        <f>J14+J17+J20+J38+J41+J45</f>
        <v>220497.5</v>
      </c>
      <c r="K47" s="10">
        <f t="shared" si="10"/>
        <v>463681.8</v>
      </c>
      <c r="L47" s="10">
        <f t="shared" si="10"/>
        <v>464510.754</v>
      </c>
      <c r="M47" s="10">
        <f t="shared" si="10"/>
        <v>465364.57662</v>
      </c>
      <c r="N47" s="3"/>
      <c r="O47" s="3"/>
      <c r="P47" s="3"/>
      <c r="Q47" s="3"/>
      <c r="R47" s="3"/>
    </row>
    <row r="48" spans="2:18" ht="15"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</row>
    <row r="49" spans="2:18" ht="15">
      <c r="B49" s="8" t="s">
        <v>156</v>
      </c>
      <c r="C49" s="13"/>
      <c r="D49" s="10"/>
      <c r="E49" s="10"/>
      <c r="F49" s="10"/>
      <c r="G49" s="10"/>
      <c r="H49" s="13"/>
      <c r="I49" s="13">
        <v>-2170</v>
      </c>
      <c r="J49" s="13"/>
      <c r="K49" s="13"/>
      <c r="L49" s="13"/>
      <c r="M49" s="13"/>
      <c r="N49" s="3"/>
      <c r="O49" s="3"/>
      <c r="P49" s="3"/>
      <c r="Q49" s="3"/>
      <c r="R49" s="3"/>
    </row>
    <row r="50" spans="2:18" ht="15">
      <c r="B50" s="6" t="s">
        <v>0</v>
      </c>
      <c r="C50" s="10">
        <f aca="true" t="shared" si="11" ref="C50:M50">SUM(C48:C49)</f>
        <v>0</v>
      </c>
      <c r="D50" s="10">
        <f t="shared" si="11"/>
        <v>0</v>
      </c>
      <c r="E50" s="10">
        <f t="shared" si="11"/>
        <v>0</v>
      </c>
      <c r="F50" s="10">
        <f t="shared" si="11"/>
        <v>0</v>
      </c>
      <c r="G50" s="10">
        <f t="shared" si="11"/>
        <v>0</v>
      </c>
      <c r="H50" s="10">
        <f t="shared" si="11"/>
        <v>0</v>
      </c>
      <c r="I50" s="10">
        <f t="shared" si="11"/>
        <v>-2170</v>
      </c>
      <c r="J50" s="10">
        <f t="shared" si="11"/>
        <v>0</v>
      </c>
      <c r="K50" s="10">
        <f t="shared" si="11"/>
        <v>0</v>
      </c>
      <c r="L50" s="10">
        <f t="shared" si="11"/>
        <v>0</v>
      </c>
      <c r="M50" s="10">
        <f t="shared" si="11"/>
        <v>0</v>
      </c>
      <c r="N50" s="3"/>
      <c r="O50" s="3"/>
      <c r="P50" s="3"/>
      <c r="Q50" s="3"/>
      <c r="R50" s="3"/>
    </row>
    <row r="51" spans="2:18" ht="15"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"/>
      <c r="O51" s="3"/>
      <c r="P51" s="3"/>
      <c r="Q51" s="3"/>
      <c r="R51" s="3"/>
    </row>
    <row r="52" spans="2:18" ht="15">
      <c r="B52" s="6" t="s">
        <v>73</v>
      </c>
      <c r="C52" s="10">
        <f aca="true" t="shared" si="12" ref="C52:M52">C47+C50</f>
        <v>455260</v>
      </c>
      <c r="D52" s="10">
        <f t="shared" si="12"/>
        <v>199960</v>
      </c>
      <c r="E52" s="10">
        <f t="shared" si="12"/>
        <v>49442</v>
      </c>
      <c r="F52" s="10">
        <f t="shared" si="12"/>
        <v>0</v>
      </c>
      <c r="G52" s="10">
        <f>G47+G50</f>
        <v>0</v>
      </c>
      <c r="H52" s="10">
        <f>H47+H50</f>
        <v>-150518</v>
      </c>
      <c r="I52" s="10">
        <f>I47+I50</f>
        <v>2425</v>
      </c>
      <c r="J52" s="10">
        <f>J47+J50</f>
        <v>220497.5</v>
      </c>
      <c r="K52" s="10">
        <f t="shared" si="12"/>
        <v>463681.8</v>
      </c>
      <c r="L52" s="10">
        <f t="shared" si="12"/>
        <v>464510.754</v>
      </c>
      <c r="M52" s="10">
        <f t="shared" si="12"/>
        <v>465364.57662</v>
      </c>
      <c r="N52" s="3"/>
      <c r="O52" s="3"/>
      <c r="P52" s="3"/>
      <c r="Q52" s="3"/>
      <c r="R52" s="3"/>
    </row>
    <row r="54" ht="15">
      <c r="B54" s="24"/>
    </row>
    <row r="56" ht="15">
      <c r="B56" s="20"/>
    </row>
    <row r="57" ht="15">
      <c r="B57" s="20"/>
    </row>
    <row r="64" ht="15">
      <c r="B64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zoomScalePageLayoutView="0" workbookViewId="0" topLeftCell="A4">
      <selection activeCell="AS24" sqref="AS24"/>
    </sheetView>
  </sheetViews>
  <sheetFormatPr defaultColWidth="9.140625" defaultRowHeight="15"/>
  <cols>
    <col min="1" max="1" width="46.00390625" style="49" bestFit="1" customWidth="1"/>
    <col min="2" max="2" width="12.7109375" style="56" hidden="1" customWidth="1"/>
    <col min="3" max="3" width="12.57421875" style="49" hidden="1" customWidth="1"/>
    <col min="4" max="4" width="11.7109375" style="49" hidden="1" customWidth="1"/>
    <col min="5" max="5" width="15.7109375" style="51" hidden="1" customWidth="1"/>
    <col min="6" max="12" width="9.7109375" style="48" hidden="1" customWidth="1"/>
    <col min="13" max="14" width="11.00390625" style="48" hidden="1" customWidth="1"/>
    <col min="15" max="15" width="12.28125" style="52" customWidth="1"/>
    <col min="16" max="16" width="11.00390625" style="48" hidden="1" customWidth="1"/>
    <col min="17" max="17" width="11.00390625" style="48" customWidth="1"/>
    <col min="18" max="19" width="11.00390625" style="48" hidden="1" customWidth="1"/>
    <col min="20" max="20" width="11.00390625" style="48" customWidth="1"/>
    <col min="21" max="21" width="9.7109375" style="48" hidden="1" customWidth="1"/>
    <col min="22" max="22" width="12.28125" style="48" customWidth="1"/>
    <col min="23" max="23" width="11.00390625" style="49" hidden="1" customWidth="1"/>
    <col min="24" max="24" width="11.00390625" style="49" customWidth="1"/>
    <col min="25" max="25" width="10.28125" style="49" hidden="1" customWidth="1"/>
    <col min="26" max="26" width="11.00390625" style="49" customWidth="1"/>
    <col min="27" max="27" width="9.7109375" style="49" hidden="1" customWidth="1"/>
    <col min="28" max="28" width="12.28125" style="49" customWidth="1"/>
    <col min="29" max="29" width="10.421875" style="49" hidden="1" customWidth="1"/>
    <col min="30" max="30" width="11.00390625" style="49" customWidth="1"/>
    <col min="31" max="31" width="10.7109375" style="49" hidden="1" customWidth="1"/>
    <col min="32" max="32" width="11.00390625" style="49" customWidth="1"/>
    <col min="33" max="33" width="9.140625" style="49" hidden="1" customWidth="1"/>
    <col min="34" max="34" width="12.28125" style="49" customWidth="1"/>
    <col min="35" max="35" width="11.00390625" style="49" hidden="1" customWidth="1"/>
    <col min="36" max="36" width="11.00390625" style="49" customWidth="1"/>
    <col min="37" max="37" width="12.140625" style="49" hidden="1" customWidth="1"/>
    <col min="38" max="38" width="11.00390625" style="49" customWidth="1"/>
    <col min="39" max="39" width="9.140625" style="49" hidden="1" customWidth="1"/>
    <col min="40" max="40" width="12.28125" style="49" customWidth="1"/>
    <col min="41" max="41" width="2.57421875" style="49" customWidth="1"/>
    <col min="42" max="16384" width="9.140625" style="49" customWidth="1"/>
  </cols>
  <sheetData>
    <row r="1" spans="1:20" ht="15.75" hidden="1" thickBot="1">
      <c r="A1" s="46"/>
      <c r="B1" s="165"/>
      <c r="C1" s="165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47"/>
      <c r="T1" s="47"/>
    </row>
    <row r="2" spans="1:22" ht="15.75" hidden="1" thickBot="1">
      <c r="A2" s="46"/>
      <c r="B2" s="50"/>
      <c r="C2" s="50"/>
      <c r="D2" s="50"/>
      <c r="E2" s="5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hidden="1">
      <c r="A3" s="46"/>
      <c r="B3" s="50"/>
      <c r="C3" s="168" t="s">
        <v>175</v>
      </c>
      <c r="D3" s="169"/>
      <c r="E3" s="170"/>
      <c r="F3" s="47"/>
      <c r="G3" s="171" t="s">
        <v>176</v>
      </c>
      <c r="H3" s="172"/>
      <c r="I3" s="47"/>
      <c r="J3" s="171" t="s">
        <v>177</v>
      </c>
      <c r="K3" s="172"/>
      <c r="L3" s="47"/>
      <c r="M3" s="171" t="s">
        <v>178</v>
      </c>
      <c r="N3" s="172"/>
      <c r="O3" s="47"/>
      <c r="P3" s="171" t="s">
        <v>179</v>
      </c>
      <c r="Q3" s="173"/>
      <c r="R3" s="172"/>
      <c r="S3" s="47"/>
      <c r="T3" s="47"/>
      <c r="U3" s="47"/>
      <c r="V3" s="47"/>
    </row>
    <row r="4" spans="1:40" ht="15.75">
      <c r="A4" s="140" t="s">
        <v>217</v>
      </c>
      <c r="B4" s="141"/>
      <c r="C4" s="142"/>
      <c r="D4" s="142"/>
      <c r="E4" s="143"/>
      <c r="F4" s="144"/>
      <c r="G4" s="145"/>
      <c r="H4" s="145"/>
      <c r="I4" s="144"/>
      <c r="J4" s="145"/>
      <c r="K4" s="145"/>
      <c r="L4" s="144"/>
      <c r="M4" s="174"/>
      <c r="N4" s="174"/>
      <c r="O4" s="144"/>
      <c r="P4" s="146"/>
      <c r="Q4" s="146"/>
      <c r="R4" s="146"/>
      <c r="S4" s="146"/>
      <c r="T4" s="146"/>
      <c r="U4" s="147"/>
      <c r="V4" s="147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8"/>
      <c r="AN4" s="148"/>
    </row>
    <row r="5" spans="1:40" ht="15">
      <c r="A5" s="149" t="s">
        <v>218</v>
      </c>
      <c r="B5" s="80"/>
      <c r="C5" s="81"/>
      <c r="D5" s="81"/>
      <c r="E5" s="82"/>
      <c r="F5" s="83"/>
      <c r="G5" s="84"/>
      <c r="H5" s="84"/>
      <c r="I5" s="81"/>
      <c r="J5" s="175" t="s">
        <v>180</v>
      </c>
      <c r="K5" s="175"/>
      <c r="L5" s="83"/>
      <c r="M5" s="175" t="s">
        <v>181</v>
      </c>
      <c r="N5" s="175"/>
      <c r="O5" s="83"/>
      <c r="P5" s="175" t="s">
        <v>181</v>
      </c>
      <c r="Q5" s="175"/>
      <c r="R5" s="175"/>
      <c r="S5" s="175"/>
      <c r="T5" s="175"/>
      <c r="U5" s="83"/>
      <c r="V5" s="83"/>
      <c r="W5" s="176" t="s">
        <v>181</v>
      </c>
      <c r="X5" s="176"/>
      <c r="Y5" s="176"/>
      <c r="Z5" s="176"/>
      <c r="AA5" s="86"/>
      <c r="AB5" s="86"/>
      <c r="AC5" s="176" t="s">
        <v>181</v>
      </c>
      <c r="AD5" s="176"/>
      <c r="AE5" s="176"/>
      <c r="AF5" s="176"/>
      <c r="AG5" s="81"/>
      <c r="AH5" s="81"/>
      <c r="AI5" s="176" t="s">
        <v>181</v>
      </c>
      <c r="AJ5" s="176"/>
      <c r="AK5" s="176"/>
      <c r="AL5" s="176"/>
      <c r="AM5" s="81"/>
      <c r="AN5" s="81"/>
    </row>
    <row r="6" spans="1:40" s="53" customFormat="1" ht="15" customHeight="1">
      <c r="A6" s="150"/>
      <c r="B6" s="87"/>
      <c r="C6" s="178" t="s">
        <v>175</v>
      </c>
      <c r="D6" s="178"/>
      <c r="E6" s="179" t="s">
        <v>182</v>
      </c>
      <c r="F6" s="180" t="s">
        <v>183</v>
      </c>
      <c r="G6" s="181" t="s">
        <v>176</v>
      </c>
      <c r="H6" s="181"/>
      <c r="I6" s="180" t="s">
        <v>184</v>
      </c>
      <c r="J6" s="181" t="s">
        <v>177</v>
      </c>
      <c r="K6" s="181"/>
      <c r="L6" s="180" t="s">
        <v>185</v>
      </c>
      <c r="M6" s="181" t="s">
        <v>178</v>
      </c>
      <c r="N6" s="181"/>
      <c r="O6" s="180" t="s">
        <v>212</v>
      </c>
      <c r="P6" s="181" t="s">
        <v>187</v>
      </c>
      <c r="Q6" s="181"/>
      <c r="R6" s="181"/>
      <c r="S6" s="181"/>
      <c r="T6" s="181"/>
      <c r="U6" s="177" t="s">
        <v>186</v>
      </c>
      <c r="V6" s="180" t="s">
        <v>189</v>
      </c>
      <c r="W6" s="181" t="s">
        <v>190</v>
      </c>
      <c r="X6" s="181"/>
      <c r="Y6" s="181"/>
      <c r="Z6" s="181"/>
      <c r="AA6" s="177" t="s">
        <v>188</v>
      </c>
      <c r="AB6" s="180" t="s">
        <v>192</v>
      </c>
      <c r="AC6" s="181" t="s">
        <v>193</v>
      </c>
      <c r="AD6" s="181"/>
      <c r="AE6" s="181"/>
      <c r="AF6" s="181"/>
      <c r="AG6" s="177" t="s">
        <v>191</v>
      </c>
      <c r="AH6" s="180" t="s">
        <v>195</v>
      </c>
      <c r="AI6" s="181" t="s">
        <v>196</v>
      </c>
      <c r="AJ6" s="181"/>
      <c r="AK6" s="181"/>
      <c r="AL6" s="181"/>
      <c r="AM6" s="177" t="s">
        <v>194</v>
      </c>
      <c r="AN6" s="180" t="s">
        <v>197</v>
      </c>
    </row>
    <row r="7" spans="1:40" s="54" customFormat="1" ht="52.5" customHeight="1">
      <c r="A7" s="151"/>
      <c r="B7" s="88" t="s">
        <v>198</v>
      </c>
      <c r="C7" s="89" t="s">
        <v>199</v>
      </c>
      <c r="D7" s="89" t="s">
        <v>200</v>
      </c>
      <c r="E7" s="179"/>
      <c r="F7" s="180"/>
      <c r="G7" s="90" t="s">
        <v>199</v>
      </c>
      <c r="H7" s="90" t="s">
        <v>200</v>
      </c>
      <c r="I7" s="180"/>
      <c r="J7" s="90" t="s">
        <v>199</v>
      </c>
      <c r="K7" s="90" t="s">
        <v>200</v>
      </c>
      <c r="L7" s="180"/>
      <c r="M7" s="90" t="s">
        <v>199</v>
      </c>
      <c r="N7" s="90" t="s">
        <v>200</v>
      </c>
      <c r="O7" s="180"/>
      <c r="P7" s="91" t="s">
        <v>201</v>
      </c>
      <c r="Q7" s="90" t="s">
        <v>199</v>
      </c>
      <c r="R7" s="91" t="s">
        <v>202</v>
      </c>
      <c r="S7" s="90" t="s">
        <v>203</v>
      </c>
      <c r="T7" s="90" t="s">
        <v>200</v>
      </c>
      <c r="U7" s="177"/>
      <c r="V7" s="180"/>
      <c r="W7" s="91" t="s">
        <v>204</v>
      </c>
      <c r="X7" s="90" t="s">
        <v>199</v>
      </c>
      <c r="Y7" s="91" t="s">
        <v>205</v>
      </c>
      <c r="Z7" s="90" t="s">
        <v>200</v>
      </c>
      <c r="AA7" s="177"/>
      <c r="AB7" s="180"/>
      <c r="AC7" s="91" t="s">
        <v>206</v>
      </c>
      <c r="AD7" s="90" t="s">
        <v>199</v>
      </c>
      <c r="AE7" s="91" t="s">
        <v>207</v>
      </c>
      <c r="AF7" s="90" t="s">
        <v>200</v>
      </c>
      <c r="AG7" s="177"/>
      <c r="AH7" s="180"/>
      <c r="AI7" s="91" t="s">
        <v>208</v>
      </c>
      <c r="AJ7" s="90" t="s">
        <v>199</v>
      </c>
      <c r="AK7" s="91" t="s">
        <v>209</v>
      </c>
      <c r="AL7" s="90" t="s">
        <v>200</v>
      </c>
      <c r="AM7" s="177"/>
      <c r="AN7" s="180"/>
    </row>
    <row r="8" spans="1:40" s="54" customFormat="1" ht="15" customHeight="1">
      <c r="A8" s="151"/>
      <c r="B8" s="88"/>
      <c r="C8" s="89"/>
      <c r="D8" s="89"/>
      <c r="E8" s="89"/>
      <c r="F8" s="92" t="s">
        <v>210</v>
      </c>
      <c r="G8" s="92" t="s">
        <v>210</v>
      </c>
      <c r="H8" s="92" t="s">
        <v>210</v>
      </c>
      <c r="I8" s="92" t="s">
        <v>210</v>
      </c>
      <c r="J8" s="92" t="s">
        <v>210</v>
      </c>
      <c r="K8" s="92" t="s">
        <v>210</v>
      </c>
      <c r="L8" s="92" t="s">
        <v>210</v>
      </c>
      <c r="M8" s="92" t="s">
        <v>210</v>
      </c>
      <c r="N8" s="92" t="s">
        <v>210</v>
      </c>
      <c r="O8" s="14" t="s">
        <v>5</v>
      </c>
      <c r="P8" s="93" t="s">
        <v>210</v>
      </c>
      <c r="Q8" s="14" t="s">
        <v>5</v>
      </c>
      <c r="R8" s="14" t="s">
        <v>5</v>
      </c>
      <c r="S8" s="14" t="s">
        <v>5</v>
      </c>
      <c r="T8" s="14" t="s">
        <v>5</v>
      </c>
      <c r="U8" s="14" t="s">
        <v>5</v>
      </c>
      <c r="V8" s="14" t="s">
        <v>5</v>
      </c>
      <c r="W8" s="14" t="s">
        <v>5</v>
      </c>
      <c r="X8" s="14" t="s">
        <v>5</v>
      </c>
      <c r="Y8" s="14" t="s">
        <v>5</v>
      </c>
      <c r="Z8" s="14" t="s">
        <v>5</v>
      </c>
      <c r="AA8" s="14" t="s">
        <v>5</v>
      </c>
      <c r="AB8" s="14" t="s">
        <v>5</v>
      </c>
      <c r="AC8" s="14" t="s">
        <v>5</v>
      </c>
      <c r="AD8" s="14" t="s">
        <v>5</v>
      </c>
      <c r="AE8" s="14" t="s">
        <v>5</v>
      </c>
      <c r="AF8" s="14" t="s">
        <v>5</v>
      </c>
      <c r="AG8" s="14" t="s">
        <v>5</v>
      </c>
      <c r="AH8" s="14" t="s">
        <v>5</v>
      </c>
      <c r="AI8" s="14" t="s">
        <v>5</v>
      </c>
      <c r="AJ8" s="14" t="s">
        <v>5</v>
      </c>
      <c r="AK8" s="14" t="s">
        <v>5</v>
      </c>
      <c r="AL8" s="14" t="s">
        <v>5</v>
      </c>
      <c r="AM8" s="14" t="s">
        <v>5</v>
      </c>
      <c r="AN8" s="14" t="s">
        <v>5</v>
      </c>
    </row>
    <row r="9" spans="1:40" ht="15.75" thickBot="1">
      <c r="A9" s="152"/>
      <c r="B9" s="112"/>
      <c r="C9" s="111"/>
      <c r="D9" s="111"/>
      <c r="E9" s="122"/>
      <c r="F9" s="123"/>
      <c r="G9" s="124"/>
      <c r="H9" s="124"/>
      <c r="I9" s="123"/>
      <c r="J9" s="124"/>
      <c r="K9" s="124"/>
      <c r="L9" s="123"/>
      <c r="M9" s="124"/>
      <c r="N9" s="124"/>
      <c r="O9" s="123"/>
      <c r="P9" s="125"/>
      <c r="Q9" s="124"/>
      <c r="R9" s="125"/>
      <c r="S9" s="124"/>
      <c r="T9" s="124"/>
      <c r="U9" s="125"/>
      <c r="V9" s="123"/>
      <c r="W9" s="125"/>
      <c r="X9" s="124"/>
      <c r="Y9" s="125"/>
      <c r="Z9" s="124"/>
      <c r="AA9" s="125"/>
      <c r="AB9" s="123"/>
      <c r="AC9" s="125"/>
      <c r="AD9" s="124"/>
      <c r="AE9" s="125"/>
      <c r="AF9" s="124"/>
      <c r="AG9" s="125"/>
      <c r="AH9" s="123"/>
      <c r="AI9" s="125"/>
      <c r="AJ9" s="124"/>
      <c r="AK9" s="125"/>
      <c r="AL9" s="124"/>
      <c r="AM9" s="125"/>
      <c r="AN9" s="123"/>
    </row>
    <row r="10" spans="1:40" ht="15.75" thickBot="1">
      <c r="A10" s="117" t="s">
        <v>166</v>
      </c>
      <c r="B10" s="134">
        <v>-3020027.05</v>
      </c>
      <c r="C10" s="135">
        <v>-131295.34</v>
      </c>
      <c r="D10" s="135"/>
      <c r="E10" s="136">
        <f>-245054.86-C10</f>
        <v>-113759.51999999999</v>
      </c>
      <c r="F10" s="137">
        <v>4318</v>
      </c>
      <c r="G10" s="138">
        <f>816</f>
        <v>816</v>
      </c>
      <c r="H10" s="138">
        <v>-1748</v>
      </c>
      <c r="I10" s="110">
        <f>3486+143+337</f>
        <v>3966</v>
      </c>
      <c r="J10" s="109">
        <v>50</v>
      </c>
      <c r="K10" s="109"/>
      <c r="L10" s="110">
        <f>SUM(I10:K10)</f>
        <v>4016</v>
      </c>
      <c r="M10" s="109"/>
      <c r="N10" s="109">
        <v>-12</v>
      </c>
      <c r="O10" s="110">
        <f>'Summary Net'!C33</f>
        <v>-9480</v>
      </c>
      <c r="P10" s="139"/>
      <c r="Q10" s="110">
        <f>'Summary Net'!J30</f>
        <v>-351118.19999999995</v>
      </c>
      <c r="R10" s="139">
        <v>-11</v>
      </c>
      <c r="S10" s="109"/>
      <c r="T10" s="109"/>
      <c r="U10" s="139">
        <f>SUM(O10+P10+R10)</f>
        <v>-9491</v>
      </c>
      <c r="V10" s="110">
        <f>O10+Q10+T10</f>
        <v>-360598.19999999995</v>
      </c>
      <c r="W10" s="139"/>
      <c r="X10" s="109"/>
      <c r="Y10" s="139"/>
      <c r="Z10" s="109"/>
      <c r="AA10" s="139">
        <f>SUM(U10+W10+Y10:Y10)</f>
        <v>-9491</v>
      </c>
      <c r="AB10" s="110">
        <f>V10+X10+Z10</f>
        <v>-360598.19999999995</v>
      </c>
      <c r="AC10" s="139"/>
      <c r="AD10" s="109"/>
      <c r="AE10" s="139"/>
      <c r="AF10" s="109"/>
      <c r="AG10" s="139">
        <f>SUM(AA10+AC10+AE10:AE10)</f>
        <v>-9491</v>
      </c>
      <c r="AH10" s="110">
        <f>AB10+AD10+AF10</f>
        <v>-360598.19999999995</v>
      </c>
      <c r="AI10" s="139"/>
      <c r="AJ10" s="109"/>
      <c r="AK10" s="139"/>
      <c r="AL10" s="109"/>
      <c r="AM10" s="139">
        <f>SUM(AG10+AI10+AK10:AK10)</f>
        <v>-9491</v>
      </c>
      <c r="AN10" s="110">
        <f>AH10+AJ10+AL10</f>
        <v>-360598.19999999995</v>
      </c>
    </row>
    <row r="11" spans="1:40" ht="15">
      <c r="A11" s="153"/>
      <c r="B11" s="126"/>
      <c r="C11" s="127"/>
      <c r="D11" s="127"/>
      <c r="E11" s="128"/>
      <c r="F11" s="129"/>
      <c r="G11" s="130"/>
      <c r="H11" s="130"/>
      <c r="I11" s="131"/>
      <c r="J11" s="132"/>
      <c r="K11" s="132"/>
      <c r="L11" s="131"/>
      <c r="M11" s="132"/>
      <c r="N11" s="132"/>
      <c r="O11" s="131"/>
      <c r="P11" s="133"/>
      <c r="Q11" s="132"/>
      <c r="R11" s="133"/>
      <c r="S11" s="132"/>
      <c r="T11" s="132"/>
      <c r="U11" s="133"/>
      <c r="V11" s="131"/>
      <c r="W11" s="133"/>
      <c r="X11" s="132"/>
      <c r="Y11" s="133"/>
      <c r="Z11" s="132"/>
      <c r="AA11" s="133"/>
      <c r="AB11" s="131"/>
      <c r="AC11" s="133"/>
      <c r="AD11" s="132"/>
      <c r="AE11" s="133"/>
      <c r="AF11" s="132"/>
      <c r="AG11" s="133"/>
      <c r="AH11" s="131"/>
      <c r="AI11" s="133"/>
      <c r="AJ11" s="132"/>
      <c r="AK11" s="133"/>
      <c r="AL11" s="132"/>
      <c r="AM11" s="133"/>
      <c r="AN11" s="131"/>
    </row>
    <row r="12" spans="1:40" ht="15">
      <c r="A12" s="154" t="s">
        <v>211</v>
      </c>
      <c r="B12" s="80"/>
      <c r="C12" s="101"/>
      <c r="D12" s="101"/>
      <c r="E12" s="102"/>
      <c r="F12" s="83"/>
      <c r="G12" s="84"/>
      <c r="H12" s="84"/>
      <c r="I12" s="103"/>
      <c r="J12" s="104"/>
      <c r="K12" s="104"/>
      <c r="L12" s="103"/>
      <c r="M12" s="104"/>
      <c r="N12" s="104"/>
      <c r="O12" s="103"/>
      <c r="P12" s="105"/>
      <c r="Q12" s="104"/>
      <c r="R12" s="105"/>
      <c r="S12" s="104"/>
      <c r="T12" s="104"/>
      <c r="U12" s="105"/>
      <c r="V12" s="103"/>
      <c r="W12" s="105"/>
      <c r="X12" s="104"/>
      <c r="Y12" s="105"/>
      <c r="Z12" s="104"/>
      <c r="AA12" s="105"/>
      <c r="AB12" s="103"/>
      <c r="AC12" s="105"/>
      <c r="AD12" s="104"/>
      <c r="AE12" s="105"/>
      <c r="AF12" s="104"/>
      <c r="AG12" s="105"/>
      <c r="AH12" s="103"/>
      <c r="AI12" s="105"/>
      <c r="AJ12" s="104"/>
      <c r="AK12" s="105"/>
      <c r="AL12" s="104"/>
      <c r="AM12" s="105"/>
      <c r="AN12" s="103"/>
    </row>
    <row r="13" spans="1:40" ht="15">
      <c r="A13" s="154"/>
      <c r="B13" s="80"/>
      <c r="C13" s="101"/>
      <c r="D13" s="101"/>
      <c r="E13" s="102"/>
      <c r="F13" s="83"/>
      <c r="G13" s="84"/>
      <c r="H13" s="84"/>
      <c r="I13" s="103"/>
      <c r="J13" s="104"/>
      <c r="K13" s="104"/>
      <c r="L13" s="103"/>
      <c r="M13" s="104"/>
      <c r="N13" s="104"/>
      <c r="O13" s="103"/>
      <c r="P13" s="105"/>
      <c r="Q13" s="104"/>
      <c r="R13" s="105"/>
      <c r="S13" s="104"/>
      <c r="T13" s="104"/>
      <c r="U13" s="105"/>
      <c r="V13" s="103"/>
      <c r="W13" s="105"/>
      <c r="X13" s="104"/>
      <c r="Y13" s="105"/>
      <c r="Z13" s="104"/>
      <c r="AA13" s="105"/>
      <c r="AB13" s="103"/>
      <c r="AC13" s="105"/>
      <c r="AD13" s="104"/>
      <c r="AE13" s="105"/>
      <c r="AF13" s="104"/>
      <c r="AG13" s="105"/>
      <c r="AH13" s="103"/>
      <c r="AI13" s="105"/>
      <c r="AJ13" s="104"/>
      <c r="AK13" s="105"/>
      <c r="AL13" s="104"/>
      <c r="AM13" s="105"/>
      <c r="AN13" s="103"/>
    </row>
    <row r="14" spans="1:40" ht="15.75" customHeight="1">
      <c r="A14" s="155" t="s">
        <v>213</v>
      </c>
      <c r="B14" s="94">
        <v>-500000</v>
      </c>
      <c r="C14" s="95">
        <v>-62900</v>
      </c>
      <c r="D14" s="95">
        <v>73506.87</v>
      </c>
      <c r="E14" s="96"/>
      <c r="F14" s="85">
        <v>417</v>
      </c>
      <c r="G14" s="97"/>
      <c r="H14" s="97">
        <v>-60</v>
      </c>
      <c r="I14" s="98">
        <f>SUM(F14:H14)</f>
        <v>357</v>
      </c>
      <c r="J14" s="99">
        <v>150</v>
      </c>
      <c r="K14" s="99">
        <v>-334</v>
      </c>
      <c r="L14" s="98">
        <f>SUM(I14:K14)</f>
        <v>173</v>
      </c>
      <c r="M14" s="99"/>
      <c r="N14" s="99"/>
      <c r="O14" s="98">
        <v>0</v>
      </c>
      <c r="P14" s="100"/>
      <c r="Q14" s="98">
        <f>-Miscellaneous!J12+-'Sparrows Nest'!J8</f>
        <v>-60700</v>
      </c>
      <c r="R14" s="100"/>
      <c r="S14" s="99"/>
      <c r="T14" s="99"/>
      <c r="U14" s="100">
        <f>SUM(O14+P14+R14)</f>
        <v>0</v>
      </c>
      <c r="V14" s="98">
        <f>O14+Q14+S14+T14</f>
        <v>-60700</v>
      </c>
      <c r="W14" s="100"/>
      <c r="X14" s="98">
        <f>-Miscellaneous!K12+-'Sparrows Nest'!K8</f>
        <v>-60700</v>
      </c>
      <c r="Y14" s="100"/>
      <c r="Z14" s="99"/>
      <c r="AA14" s="100">
        <f>SUM(U14+W14+Y14:Y14)</f>
        <v>0</v>
      </c>
      <c r="AB14" s="98">
        <f>V14+X14+Z14</f>
        <v>-121400</v>
      </c>
      <c r="AC14" s="100"/>
      <c r="AD14" s="98">
        <f>-Miscellaneous!L12+-'Sparrows Nest'!L8</f>
        <v>-60700</v>
      </c>
      <c r="AE14" s="100"/>
      <c r="AF14" s="99"/>
      <c r="AG14" s="100">
        <f>SUM(AA14+AC14+AE14:AE14)</f>
        <v>0</v>
      </c>
      <c r="AH14" s="98">
        <f>AB14+AD14+AF14</f>
        <v>-182100</v>
      </c>
      <c r="AI14" s="100"/>
      <c r="AJ14" s="98">
        <f>-Miscellaneous!M12+-'Sparrows Nest'!L8</f>
        <v>-60700</v>
      </c>
      <c r="AK14" s="100"/>
      <c r="AL14" s="99"/>
      <c r="AM14" s="100">
        <f>SUM(AG14+AI14+AK14:AK14)</f>
        <v>0</v>
      </c>
      <c r="AN14" s="98">
        <f>AH14+AJ14+AL14</f>
        <v>-242800</v>
      </c>
    </row>
    <row r="15" spans="1:40" ht="15.75" customHeight="1">
      <c r="A15" s="156"/>
      <c r="B15" s="94"/>
      <c r="C15" s="95"/>
      <c r="D15" s="95"/>
      <c r="E15" s="96"/>
      <c r="F15" s="85"/>
      <c r="G15" s="97"/>
      <c r="H15" s="97"/>
      <c r="I15" s="98"/>
      <c r="J15" s="99"/>
      <c r="K15" s="99"/>
      <c r="L15" s="98"/>
      <c r="M15" s="99"/>
      <c r="N15" s="99"/>
      <c r="O15" s="98"/>
      <c r="P15" s="100"/>
      <c r="Q15" s="99"/>
      <c r="R15" s="100"/>
      <c r="S15" s="99"/>
      <c r="T15" s="99"/>
      <c r="U15" s="100"/>
      <c r="V15" s="98"/>
      <c r="W15" s="100"/>
      <c r="X15" s="99"/>
      <c r="Y15" s="100"/>
      <c r="Z15" s="99"/>
      <c r="AA15" s="100"/>
      <c r="AB15" s="98"/>
      <c r="AC15" s="100"/>
      <c r="AD15" s="99"/>
      <c r="AE15" s="100"/>
      <c r="AF15" s="99"/>
      <c r="AG15" s="100"/>
      <c r="AH15" s="98"/>
      <c r="AI15" s="100"/>
      <c r="AJ15" s="99"/>
      <c r="AK15" s="100"/>
      <c r="AL15" s="99"/>
      <c r="AM15" s="100"/>
      <c r="AN15" s="98"/>
    </row>
    <row r="16" spans="1:40" ht="15.75" customHeight="1">
      <c r="A16" s="157" t="s">
        <v>214</v>
      </c>
      <c r="B16" s="94">
        <v>-216600</v>
      </c>
      <c r="C16" s="95">
        <v>-283400</v>
      </c>
      <c r="D16" s="95"/>
      <c r="E16" s="96"/>
      <c r="F16" s="85">
        <v>100</v>
      </c>
      <c r="G16" s="97">
        <v>100</v>
      </c>
      <c r="H16" s="97"/>
      <c r="I16" s="98">
        <f>SUM(F16:H16)</f>
        <v>200</v>
      </c>
      <c r="J16" s="99"/>
      <c r="K16" s="99"/>
      <c r="L16" s="98">
        <f>SUM(I16:K16)</f>
        <v>200</v>
      </c>
      <c r="M16" s="99">
        <v>53</v>
      </c>
      <c r="N16" s="99"/>
      <c r="O16" s="98">
        <v>0</v>
      </c>
      <c r="P16" s="99"/>
      <c r="Q16" s="99"/>
      <c r="R16" s="99"/>
      <c r="S16" s="99"/>
      <c r="T16" s="99"/>
      <c r="U16" s="99">
        <f>SUM(O16+P16+R16)</f>
        <v>0</v>
      </c>
      <c r="V16" s="98">
        <f>O16+Q16+S16+T16</f>
        <v>0</v>
      </c>
      <c r="W16" s="99"/>
      <c r="X16" s="98">
        <f>-'Play Areas'!K7</f>
        <v>-50000</v>
      </c>
      <c r="Y16" s="99"/>
      <c r="Z16" s="99"/>
      <c r="AA16" s="99">
        <f>SUM(U16+W16+Y16:Y16)</f>
        <v>0</v>
      </c>
      <c r="AB16" s="98">
        <f>V16+X16+Z16</f>
        <v>-50000</v>
      </c>
      <c r="AC16" s="99"/>
      <c r="AD16" s="98">
        <f>-'Play Areas'!L7</f>
        <v>-50000</v>
      </c>
      <c r="AE16" s="99"/>
      <c r="AF16" s="99"/>
      <c r="AG16" s="99">
        <f>SUM(AA16+AC16+AE16:AE16)</f>
        <v>0</v>
      </c>
      <c r="AH16" s="98">
        <f>AB16+AD16+AF16</f>
        <v>-100000</v>
      </c>
      <c r="AI16" s="99"/>
      <c r="AJ16" s="98">
        <f>-'Play Areas'!M7</f>
        <v>-50000</v>
      </c>
      <c r="AK16" s="99"/>
      <c r="AL16" s="99"/>
      <c r="AM16" s="99">
        <f>SUM(AG16+AI16+AK16:AK16)</f>
        <v>0</v>
      </c>
      <c r="AN16" s="98">
        <f>AH16+AJ16+AL16</f>
        <v>-150000</v>
      </c>
    </row>
    <row r="17" spans="1:40" ht="15.75" customHeight="1">
      <c r="A17" s="157"/>
      <c r="B17" s="94"/>
      <c r="C17" s="95"/>
      <c r="D17" s="95"/>
      <c r="E17" s="96"/>
      <c r="F17" s="85"/>
      <c r="G17" s="97"/>
      <c r="H17" s="97"/>
      <c r="I17" s="98"/>
      <c r="J17" s="99"/>
      <c r="K17" s="99"/>
      <c r="L17" s="98"/>
      <c r="M17" s="99"/>
      <c r="N17" s="99"/>
      <c r="O17" s="98"/>
      <c r="P17" s="99"/>
      <c r="Q17" s="99"/>
      <c r="R17" s="99"/>
      <c r="S17" s="99"/>
      <c r="T17" s="99"/>
      <c r="U17" s="99"/>
      <c r="V17" s="98"/>
      <c r="W17" s="99"/>
      <c r="X17" s="98"/>
      <c r="Y17" s="99"/>
      <c r="Z17" s="99"/>
      <c r="AA17" s="99"/>
      <c r="AB17" s="98"/>
      <c r="AC17" s="99"/>
      <c r="AD17" s="98"/>
      <c r="AE17" s="99"/>
      <c r="AF17" s="99"/>
      <c r="AG17" s="99"/>
      <c r="AH17" s="98"/>
      <c r="AI17" s="99"/>
      <c r="AJ17" s="98"/>
      <c r="AK17" s="99"/>
      <c r="AL17" s="99"/>
      <c r="AM17" s="99"/>
      <c r="AN17" s="98"/>
    </row>
    <row r="18" spans="1:40" ht="15.75" customHeight="1">
      <c r="A18" s="155" t="s">
        <v>215</v>
      </c>
      <c r="B18" s="94">
        <v>0</v>
      </c>
      <c r="C18" s="95"/>
      <c r="D18" s="95"/>
      <c r="E18" s="96"/>
      <c r="F18" s="85">
        <v>70</v>
      </c>
      <c r="G18" s="97">
        <v>60</v>
      </c>
      <c r="H18" s="97"/>
      <c r="I18" s="98">
        <f>SUM(F18:H18)</f>
        <v>130</v>
      </c>
      <c r="J18" s="99">
        <v>60</v>
      </c>
      <c r="K18" s="99"/>
      <c r="L18" s="98">
        <f>SUM(I18:K18)</f>
        <v>190</v>
      </c>
      <c r="M18" s="99"/>
      <c r="N18" s="99"/>
      <c r="O18" s="98">
        <v>0</v>
      </c>
      <c r="P18" s="99">
        <v>60</v>
      </c>
      <c r="Q18" s="98">
        <v>-18160</v>
      </c>
      <c r="R18" s="99">
        <v>-50</v>
      </c>
      <c r="S18" s="99"/>
      <c r="T18" s="99"/>
      <c r="U18" s="99">
        <f>SUM(O18+P18+R18)</f>
        <v>10</v>
      </c>
      <c r="V18" s="98">
        <f>O18+Q18+S18+T18</f>
        <v>-18160</v>
      </c>
      <c r="W18" s="99">
        <v>60</v>
      </c>
      <c r="X18" s="98">
        <f>-Administration!K37</f>
        <v>-20000</v>
      </c>
      <c r="Y18" s="99"/>
      <c r="Z18" s="99"/>
      <c r="AA18" s="99">
        <f>SUM(U18+W18+Y18:Y18)</f>
        <v>70</v>
      </c>
      <c r="AB18" s="98">
        <f>V18+X18+Z18</f>
        <v>-38160</v>
      </c>
      <c r="AC18" s="99">
        <v>60</v>
      </c>
      <c r="AD18" s="98">
        <f>-Administration!L37</f>
        <v>-20000</v>
      </c>
      <c r="AE18" s="99"/>
      <c r="AF18" s="99">
        <v>40000</v>
      </c>
      <c r="AG18" s="99">
        <f>SUM(AA18+AC18+AE18:AE18)</f>
        <v>130</v>
      </c>
      <c r="AH18" s="98">
        <f>AB18+AD18+AF18</f>
        <v>-18160</v>
      </c>
      <c r="AI18" s="99">
        <v>60</v>
      </c>
      <c r="AJ18" s="98">
        <f>-Administration!M37</f>
        <v>-20000</v>
      </c>
      <c r="AK18" s="99"/>
      <c r="AL18" s="99"/>
      <c r="AM18" s="99">
        <f>SUM(AG18+AI18+AK18:AK18)</f>
        <v>190</v>
      </c>
      <c r="AN18" s="98">
        <f>AH18+AJ18+AL18</f>
        <v>-38160</v>
      </c>
    </row>
    <row r="19" spans="1:40" ht="15.75" customHeight="1" thickBot="1">
      <c r="A19" s="158"/>
      <c r="B19" s="112"/>
      <c r="C19" s="113"/>
      <c r="D19" s="113"/>
      <c r="E19" s="114"/>
      <c r="F19" s="115"/>
      <c r="G19" s="116"/>
      <c r="H19" s="116"/>
      <c r="I19" s="106"/>
      <c r="J19" s="107"/>
      <c r="K19" s="107"/>
      <c r="L19" s="106"/>
      <c r="M19" s="107"/>
      <c r="N19" s="107"/>
      <c r="O19" s="106"/>
      <c r="P19" s="107"/>
      <c r="Q19" s="107"/>
      <c r="R19" s="107"/>
      <c r="S19" s="107"/>
      <c r="T19" s="107"/>
      <c r="U19" s="107"/>
      <c r="V19" s="106"/>
      <c r="W19" s="107"/>
      <c r="X19" s="107"/>
      <c r="Y19" s="107"/>
      <c r="Z19" s="107"/>
      <c r="AA19" s="107"/>
      <c r="AB19" s="106"/>
      <c r="AC19" s="107"/>
      <c r="AD19" s="107"/>
      <c r="AE19" s="107"/>
      <c r="AF19" s="107"/>
      <c r="AG19" s="107"/>
      <c r="AH19" s="106"/>
      <c r="AI19" s="107"/>
      <c r="AJ19" s="107"/>
      <c r="AK19" s="107"/>
      <c r="AL19" s="107"/>
      <c r="AM19" s="107"/>
      <c r="AN19" s="106"/>
    </row>
    <row r="20" spans="1:40" ht="15.75" thickBot="1">
      <c r="A20" s="117" t="s">
        <v>216</v>
      </c>
      <c r="B20" s="118">
        <f aca="true" t="shared" si="0" ref="B20:AN20">SUM(B14:B19)</f>
        <v>-716600</v>
      </c>
      <c r="C20" s="118">
        <f t="shared" si="0"/>
        <v>-346300</v>
      </c>
      <c r="D20" s="118">
        <f t="shared" si="0"/>
        <v>73506.87</v>
      </c>
      <c r="E20" s="118">
        <f t="shared" si="0"/>
        <v>0</v>
      </c>
      <c r="F20" s="119">
        <f t="shared" si="0"/>
        <v>587</v>
      </c>
      <c r="G20" s="119">
        <f t="shared" si="0"/>
        <v>160</v>
      </c>
      <c r="H20" s="119">
        <f t="shared" si="0"/>
        <v>-60</v>
      </c>
      <c r="I20" s="120">
        <f t="shared" si="0"/>
        <v>687</v>
      </c>
      <c r="J20" s="120">
        <f t="shared" si="0"/>
        <v>210</v>
      </c>
      <c r="K20" s="120">
        <f t="shared" si="0"/>
        <v>-334</v>
      </c>
      <c r="L20" s="120">
        <f t="shared" si="0"/>
        <v>563</v>
      </c>
      <c r="M20" s="120">
        <f t="shared" si="0"/>
        <v>53</v>
      </c>
      <c r="N20" s="121">
        <f t="shared" si="0"/>
        <v>0</v>
      </c>
      <c r="O20" s="108">
        <f t="shared" si="0"/>
        <v>0</v>
      </c>
      <c r="P20" s="109">
        <f t="shared" si="0"/>
        <v>60</v>
      </c>
      <c r="Q20" s="110">
        <f t="shared" si="0"/>
        <v>-78860</v>
      </c>
      <c r="R20" s="109">
        <f t="shared" si="0"/>
        <v>-50</v>
      </c>
      <c r="S20" s="110">
        <f t="shared" si="0"/>
        <v>0</v>
      </c>
      <c r="T20" s="110">
        <f t="shared" si="0"/>
        <v>0</v>
      </c>
      <c r="U20" s="109">
        <f t="shared" si="0"/>
        <v>10</v>
      </c>
      <c r="V20" s="110">
        <f t="shared" si="0"/>
        <v>-78860</v>
      </c>
      <c r="W20" s="109">
        <f t="shared" si="0"/>
        <v>60</v>
      </c>
      <c r="X20" s="110">
        <f t="shared" si="0"/>
        <v>-130700</v>
      </c>
      <c r="Y20" s="109">
        <f t="shared" si="0"/>
        <v>0</v>
      </c>
      <c r="Z20" s="110">
        <f t="shared" si="0"/>
        <v>0</v>
      </c>
      <c r="AA20" s="109">
        <f t="shared" si="0"/>
        <v>70</v>
      </c>
      <c r="AB20" s="110">
        <f t="shared" si="0"/>
        <v>-209560</v>
      </c>
      <c r="AC20" s="109">
        <f t="shared" si="0"/>
        <v>60</v>
      </c>
      <c r="AD20" s="110">
        <f t="shared" si="0"/>
        <v>-130700</v>
      </c>
      <c r="AE20" s="109">
        <f t="shared" si="0"/>
        <v>0</v>
      </c>
      <c r="AF20" s="110">
        <f t="shared" si="0"/>
        <v>40000</v>
      </c>
      <c r="AG20" s="109">
        <f t="shared" si="0"/>
        <v>130</v>
      </c>
      <c r="AH20" s="110">
        <f t="shared" si="0"/>
        <v>-300260</v>
      </c>
      <c r="AI20" s="109">
        <f t="shared" si="0"/>
        <v>60</v>
      </c>
      <c r="AJ20" s="110">
        <f t="shared" si="0"/>
        <v>-130700</v>
      </c>
      <c r="AK20" s="109">
        <f t="shared" si="0"/>
        <v>0</v>
      </c>
      <c r="AL20" s="110">
        <f t="shared" si="0"/>
        <v>0</v>
      </c>
      <c r="AM20" s="109">
        <f t="shared" si="0"/>
        <v>190</v>
      </c>
      <c r="AN20" s="110">
        <f t="shared" si="0"/>
        <v>-430960</v>
      </c>
    </row>
    <row r="21" spans="1:40" ht="15">
      <c r="A21" s="51"/>
      <c r="B21" s="57"/>
      <c r="C21" s="57"/>
      <c r="D21" s="57"/>
      <c r="E21" s="57"/>
      <c r="F21" s="58"/>
      <c r="G21" s="58"/>
      <c r="H21" s="58"/>
      <c r="I21" s="59"/>
      <c r="J21" s="59"/>
      <c r="K21" s="59"/>
      <c r="L21" s="59"/>
      <c r="M21" s="59"/>
      <c r="N21" s="59"/>
      <c r="O21" s="59"/>
      <c r="P21" s="60"/>
      <c r="Q21" s="59"/>
      <c r="R21" s="60"/>
      <c r="S21" s="60"/>
      <c r="T21" s="59"/>
      <c r="U21" s="60"/>
      <c r="V21" s="59"/>
      <c r="W21" s="60"/>
      <c r="X21" s="59"/>
      <c r="Y21" s="60"/>
      <c r="Z21" s="59"/>
      <c r="AA21" s="60"/>
      <c r="AB21" s="59"/>
      <c r="AC21" s="60"/>
      <c r="AD21" s="59"/>
      <c r="AE21" s="60"/>
      <c r="AF21" s="59"/>
      <c r="AG21" s="60"/>
      <c r="AH21" s="59"/>
      <c r="AI21" s="60"/>
      <c r="AJ21" s="59"/>
      <c r="AK21" s="60"/>
      <c r="AL21" s="59"/>
      <c r="AM21" s="60"/>
      <c r="AN21" s="59"/>
    </row>
    <row r="22" spans="1:40" ht="15">
      <c r="A22" s="65"/>
      <c r="B22" s="61"/>
      <c r="C22" s="57"/>
      <c r="D22" s="57"/>
      <c r="E22" s="57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60"/>
      <c r="Q22" s="59"/>
      <c r="R22" s="60"/>
      <c r="S22" s="60"/>
      <c r="T22" s="59"/>
      <c r="U22" s="60"/>
      <c r="V22" s="59"/>
      <c r="W22" s="60"/>
      <c r="X22" s="59"/>
      <c r="Y22" s="60"/>
      <c r="Z22" s="59"/>
      <c r="AA22" s="60"/>
      <c r="AB22" s="59"/>
      <c r="AC22" s="60"/>
      <c r="AD22" s="59"/>
      <c r="AE22" s="60"/>
      <c r="AF22" s="59"/>
      <c r="AG22" s="60"/>
      <c r="AH22" s="59"/>
      <c r="AI22" s="60"/>
      <c r="AJ22" s="59"/>
      <c r="AK22" s="60"/>
      <c r="AL22" s="59"/>
      <c r="AM22" s="60"/>
      <c r="AN22" s="59"/>
    </row>
    <row r="23" spans="1:40" ht="13.5" customHeight="1">
      <c r="A23" s="66"/>
      <c r="B23" s="61"/>
      <c r="C23" s="67"/>
      <c r="D23" s="67"/>
      <c r="E23" s="68"/>
      <c r="F23" s="63"/>
      <c r="G23" s="69"/>
      <c r="H23" s="69"/>
      <c r="I23" s="64"/>
      <c r="J23" s="70"/>
      <c r="K23" s="70"/>
      <c r="L23" s="64"/>
      <c r="M23" s="70"/>
      <c r="N23" s="70"/>
      <c r="O23" s="64"/>
      <c r="P23" s="70"/>
      <c r="Q23" s="70"/>
      <c r="R23" s="70"/>
      <c r="S23" s="70"/>
      <c r="T23" s="70"/>
      <c r="U23" s="70"/>
      <c r="V23" s="64"/>
      <c r="W23" s="70"/>
      <c r="X23" s="70"/>
      <c r="Y23" s="70"/>
      <c r="Z23" s="70"/>
      <c r="AA23" s="70"/>
      <c r="AB23" s="64"/>
      <c r="AC23" s="70"/>
      <c r="AD23" s="70"/>
      <c r="AE23" s="70"/>
      <c r="AF23" s="70"/>
      <c r="AG23" s="70"/>
      <c r="AH23" s="64"/>
      <c r="AI23" s="70"/>
      <c r="AJ23" s="70"/>
      <c r="AK23" s="70"/>
      <c r="AL23" s="70"/>
      <c r="AM23" s="70"/>
      <c r="AN23" s="64"/>
    </row>
    <row r="24" spans="1:40" ht="15.75" customHeight="1">
      <c r="A24" s="66"/>
      <c r="B24" s="61"/>
      <c r="C24" s="67"/>
      <c r="D24" s="71"/>
      <c r="E24" s="72"/>
      <c r="F24" s="63"/>
      <c r="G24" s="69"/>
      <c r="H24" s="69"/>
      <c r="I24" s="64"/>
      <c r="J24" s="70"/>
      <c r="K24" s="70"/>
      <c r="L24" s="64"/>
      <c r="M24" s="70"/>
      <c r="N24" s="70"/>
      <c r="O24" s="64"/>
      <c r="P24" s="70"/>
      <c r="Q24" s="70"/>
      <c r="R24" s="70"/>
      <c r="S24" s="70"/>
      <c r="T24" s="70"/>
      <c r="U24" s="70"/>
      <c r="V24" s="64"/>
      <c r="W24" s="70"/>
      <c r="X24" s="70"/>
      <c r="Y24" s="70"/>
      <c r="Z24" s="70"/>
      <c r="AA24" s="70"/>
      <c r="AB24" s="64"/>
      <c r="AC24" s="70"/>
      <c r="AD24" s="70"/>
      <c r="AE24" s="70"/>
      <c r="AF24" s="70"/>
      <c r="AG24" s="70"/>
      <c r="AH24" s="64"/>
      <c r="AI24" s="70"/>
      <c r="AJ24" s="70"/>
      <c r="AK24" s="70"/>
      <c r="AL24" s="70"/>
      <c r="AM24" s="70"/>
      <c r="AN24" s="64"/>
    </row>
    <row r="25" spans="1:40" ht="15">
      <c r="A25" s="65"/>
      <c r="B25" s="57"/>
      <c r="C25" s="57"/>
      <c r="D25" s="57"/>
      <c r="E25" s="57"/>
      <c r="F25" s="58"/>
      <c r="G25" s="58"/>
      <c r="H25" s="58"/>
      <c r="I25" s="59"/>
      <c r="J25" s="59"/>
      <c r="K25" s="59"/>
      <c r="L25" s="59"/>
      <c r="M25" s="59"/>
      <c r="N25" s="59"/>
      <c r="O25" s="59"/>
      <c r="P25" s="73"/>
      <c r="Q25" s="59"/>
      <c r="R25" s="73"/>
      <c r="S25" s="73"/>
      <c r="T25" s="59"/>
      <c r="U25" s="73"/>
      <c r="V25" s="59"/>
      <c r="W25" s="73"/>
      <c r="X25" s="59"/>
      <c r="Y25" s="73"/>
      <c r="Z25" s="59"/>
      <c r="AA25" s="73"/>
      <c r="AB25" s="59"/>
      <c r="AC25" s="73"/>
      <c r="AD25" s="59"/>
      <c r="AE25" s="73"/>
      <c r="AF25" s="59"/>
      <c r="AG25" s="73"/>
      <c r="AH25" s="59"/>
      <c r="AI25" s="73"/>
      <c r="AJ25" s="59"/>
      <c r="AK25" s="73"/>
      <c r="AL25" s="59"/>
      <c r="AM25" s="73"/>
      <c r="AN25" s="59"/>
    </row>
    <row r="26" spans="1:40" ht="15">
      <c r="A26" s="74"/>
      <c r="B26" s="57"/>
      <c r="C26" s="57"/>
      <c r="D26" s="57"/>
      <c r="E26" s="57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62"/>
      <c r="Q26" s="59"/>
      <c r="R26" s="62"/>
      <c r="S26" s="62"/>
      <c r="T26" s="59"/>
      <c r="U26" s="62"/>
      <c r="V26" s="59"/>
      <c r="W26" s="62"/>
      <c r="X26" s="59"/>
      <c r="Y26" s="62"/>
      <c r="Z26" s="59"/>
      <c r="AA26" s="62"/>
      <c r="AB26" s="59"/>
      <c r="AC26" s="62"/>
      <c r="AD26" s="59"/>
      <c r="AE26" s="62"/>
      <c r="AF26" s="59"/>
      <c r="AG26" s="62"/>
      <c r="AH26" s="59"/>
      <c r="AI26" s="62"/>
      <c r="AJ26" s="59"/>
      <c r="AK26" s="62"/>
      <c r="AL26" s="59"/>
      <c r="AM26" s="62"/>
      <c r="AN26" s="59"/>
    </row>
    <row r="27" spans="1:40" ht="15">
      <c r="A27" s="65"/>
      <c r="B27" s="61"/>
      <c r="C27" s="61"/>
      <c r="D27" s="61"/>
      <c r="E27" s="61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70"/>
      <c r="Q27" s="64"/>
      <c r="R27" s="70"/>
      <c r="S27" s="70"/>
      <c r="T27" s="64"/>
      <c r="U27" s="70"/>
      <c r="V27" s="64"/>
      <c r="W27" s="70"/>
      <c r="X27" s="64"/>
      <c r="Y27" s="70"/>
      <c r="Z27" s="64"/>
      <c r="AA27" s="70"/>
      <c r="AB27" s="64"/>
      <c r="AC27" s="70"/>
      <c r="AD27" s="64"/>
      <c r="AE27" s="70"/>
      <c r="AF27" s="64"/>
      <c r="AG27" s="70"/>
      <c r="AH27" s="64"/>
      <c r="AI27" s="70"/>
      <c r="AJ27" s="64"/>
      <c r="AK27" s="70"/>
      <c r="AL27" s="64"/>
      <c r="AM27" s="70"/>
      <c r="AN27" s="64"/>
    </row>
    <row r="28" spans="1:40" ht="15">
      <c r="A28" s="74"/>
      <c r="B28" s="57"/>
      <c r="C28" s="57"/>
      <c r="D28" s="57"/>
      <c r="E28" s="57"/>
      <c r="F28" s="58"/>
      <c r="G28" s="58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59"/>
      <c r="W28" s="59"/>
      <c r="X28" s="59"/>
      <c r="Y28" s="59"/>
      <c r="Z28" s="59"/>
      <c r="AA28" s="60"/>
      <c r="AB28" s="59"/>
      <c r="AC28" s="59"/>
      <c r="AD28" s="59"/>
      <c r="AE28" s="59"/>
      <c r="AF28" s="59"/>
      <c r="AG28" s="60"/>
      <c r="AH28" s="59"/>
      <c r="AI28" s="59"/>
      <c r="AJ28" s="59"/>
      <c r="AK28" s="59"/>
      <c r="AL28" s="59"/>
      <c r="AM28" s="60"/>
      <c r="AN28" s="59"/>
    </row>
    <row r="29" spans="1:40" ht="15">
      <c r="A29" s="66"/>
      <c r="B29" s="61"/>
      <c r="C29" s="67"/>
      <c r="D29" s="67"/>
      <c r="E29" s="68"/>
      <c r="F29" s="63"/>
      <c r="G29" s="69"/>
      <c r="H29" s="69"/>
      <c r="I29" s="64"/>
      <c r="J29" s="70"/>
      <c r="K29" s="70"/>
      <c r="L29" s="64"/>
      <c r="M29" s="70"/>
      <c r="N29" s="70"/>
      <c r="O29" s="59"/>
      <c r="P29" s="62"/>
      <c r="Q29" s="60"/>
      <c r="R29" s="62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</row>
    <row r="30" spans="1:40" ht="15">
      <c r="A30" s="66"/>
      <c r="B30" s="61"/>
      <c r="C30" s="67"/>
      <c r="D30" s="67"/>
      <c r="E30" s="68"/>
      <c r="F30" s="63"/>
      <c r="G30" s="69"/>
      <c r="H30" s="69"/>
      <c r="I30" s="64"/>
      <c r="J30" s="70"/>
      <c r="K30" s="70"/>
      <c r="L30" s="64"/>
      <c r="M30" s="70"/>
      <c r="N30" s="70"/>
      <c r="O30" s="64"/>
      <c r="P30" s="75"/>
      <c r="Q30" s="70"/>
      <c r="R30" s="75"/>
      <c r="S30" s="75"/>
      <c r="T30" s="70"/>
      <c r="U30" s="75"/>
      <c r="V30" s="64"/>
      <c r="W30" s="75"/>
      <c r="X30" s="70"/>
      <c r="Y30" s="75"/>
      <c r="Z30" s="70"/>
      <c r="AA30" s="75"/>
      <c r="AB30" s="64"/>
      <c r="AC30" s="75"/>
      <c r="AD30" s="70"/>
      <c r="AE30" s="75"/>
      <c r="AF30" s="70"/>
      <c r="AG30" s="75"/>
      <c r="AH30" s="64"/>
      <c r="AI30" s="75"/>
      <c r="AJ30" s="70"/>
      <c r="AK30" s="75"/>
      <c r="AL30" s="70"/>
      <c r="AM30" s="75"/>
      <c r="AN30" s="64"/>
    </row>
    <row r="31" spans="1:40" ht="15">
      <c r="A31" s="66"/>
      <c r="B31" s="76"/>
      <c r="C31" s="71"/>
      <c r="D31" s="71"/>
      <c r="E31" s="72"/>
      <c r="F31" s="63"/>
      <c r="G31" s="69"/>
      <c r="H31" s="69"/>
      <c r="I31" s="64"/>
      <c r="J31" s="70"/>
      <c r="K31" s="70"/>
      <c r="L31" s="64"/>
      <c r="M31" s="70"/>
      <c r="N31" s="70"/>
      <c r="O31" s="64"/>
      <c r="P31" s="70"/>
      <c r="Q31" s="70"/>
      <c r="R31" s="70"/>
      <c r="S31" s="70"/>
      <c r="T31" s="70"/>
      <c r="U31" s="70"/>
      <c r="V31" s="64"/>
      <c r="W31" s="70"/>
      <c r="X31" s="70"/>
      <c r="Y31" s="70"/>
      <c r="Z31" s="70"/>
      <c r="AA31" s="70"/>
      <c r="AB31" s="64"/>
      <c r="AC31" s="70"/>
      <c r="AD31" s="70"/>
      <c r="AE31" s="70"/>
      <c r="AF31" s="70"/>
      <c r="AG31" s="70"/>
      <c r="AH31" s="64"/>
      <c r="AI31" s="70"/>
      <c r="AJ31" s="70"/>
      <c r="AK31" s="70"/>
      <c r="AL31" s="70"/>
      <c r="AM31" s="70"/>
      <c r="AN31" s="64"/>
    </row>
    <row r="32" spans="1:41" s="48" customFormat="1" ht="15">
      <c r="A32" s="77"/>
      <c r="B32" s="71"/>
      <c r="C32" s="66"/>
      <c r="D32" s="66"/>
      <c r="E32" s="74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78"/>
      <c r="Q32" s="78"/>
      <c r="R32" s="78"/>
      <c r="S32" s="78"/>
      <c r="T32" s="70"/>
      <c r="U32" s="70"/>
      <c r="V32" s="64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49"/>
    </row>
    <row r="33" spans="1:41" s="48" customFormat="1" ht="15">
      <c r="A33" s="77"/>
      <c r="B33" s="71"/>
      <c r="C33" s="66"/>
      <c r="D33" s="66"/>
      <c r="E33" s="74"/>
      <c r="F33" s="78"/>
      <c r="G33" s="78"/>
      <c r="H33" s="78"/>
      <c r="I33" s="78"/>
      <c r="J33" s="78"/>
      <c r="K33" s="78"/>
      <c r="L33" s="78"/>
      <c r="M33" s="78"/>
      <c r="N33" s="78"/>
      <c r="O33" s="59"/>
      <c r="P33" s="62"/>
      <c r="Q33" s="59"/>
      <c r="R33" s="62"/>
      <c r="S33" s="62"/>
      <c r="T33" s="59"/>
      <c r="U33" s="62"/>
      <c r="V33" s="59"/>
      <c r="W33" s="62"/>
      <c r="X33" s="59"/>
      <c r="Y33" s="62"/>
      <c r="Z33" s="59"/>
      <c r="AA33" s="62"/>
      <c r="AB33" s="59"/>
      <c r="AC33" s="62"/>
      <c r="AD33" s="59"/>
      <c r="AE33" s="62"/>
      <c r="AF33" s="59"/>
      <c r="AG33" s="62"/>
      <c r="AH33" s="59"/>
      <c r="AI33" s="62"/>
      <c r="AJ33" s="59"/>
      <c r="AK33" s="62"/>
      <c r="AL33" s="59"/>
      <c r="AM33" s="62"/>
      <c r="AN33" s="59"/>
      <c r="AO33" s="49"/>
    </row>
    <row r="34" spans="1:41" s="48" customFormat="1" ht="15">
      <c r="A34" s="77"/>
      <c r="B34" s="71"/>
      <c r="C34" s="66"/>
      <c r="D34" s="66"/>
      <c r="E34" s="74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8"/>
      <c r="Q34" s="78"/>
      <c r="R34" s="78"/>
      <c r="S34" s="78"/>
      <c r="T34" s="78"/>
      <c r="U34" s="78"/>
      <c r="V34" s="78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49"/>
    </row>
    <row r="35" spans="1:41" s="48" customFormat="1" ht="15">
      <c r="A35" s="77"/>
      <c r="B35" s="71"/>
      <c r="C35" s="66"/>
      <c r="D35" s="66"/>
      <c r="E35" s="74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78"/>
      <c r="Q35" s="78"/>
      <c r="R35" s="78"/>
      <c r="S35" s="78"/>
      <c r="T35" s="78"/>
      <c r="U35" s="78"/>
      <c r="V35" s="78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49"/>
    </row>
    <row r="36" spans="1:41" s="48" customFormat="1" ht="15">
      <c r="A36" s="55"/>
      <c r="B36" s="56"/>
      <c r="C36" s="49"/>
      <c r="D36" s="49"/>
      <c r="E36" s="51"/>
      <c r="O36" s="52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41" spans="1:41" s="48" customFormat="1" ht="12.75" customHeight="1">
      <c r="A41" s="55"/>
      <c r="B41" s="56"/>
      <c r="C41" s="49"/>
      <c r="D41" s="49"/>
      <c r="E41" s="51"/>
      <c r="O41" s="52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s="48" customFormat="1" ht="15">
      <c r="A42" s="55"/>
      <c r="B42" s="56"/>
      <c r="C42" s="49"/>
      <c r="D42" s="49"/>
      <c r="E42" s="51"/>
      <c r="O42" s="52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s="56" customFormat="1" ht="15">
      <c r="A43" s="55"/>
      <c r="C43" s="49"/>
      <c r="D43" s="49"/>
      <c r="E43" s="51"/>
      <c r="F43" s="48"/>
      <c r="G43" s="48"/>
      <c r="H43" s="48"/>
      <c r="I43" s="48"/>
      <c r="J43" s="48"/>
      <c r="K43" s="48"/>
      <c r="L43" s="48"/>
      <c r="M43" s="48"/>
      <c r="N43" s="48"/>
      <c r="O43" s="52"/>
      <c r="P43" s="48"/>
      <c r="Q43" s="48"/>
      <c r="R43" s="48"/>
      <c r="S43" s="48"/>
      <c r="T43" s="48"/>
      <c r="U43" s="48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s="56" customFormat="1" ht="15">
      <c r="A44" s="55"/>
      <c r="C44" s="49"/>
      <c r="D44" s="49"/>
      <c r="E44" s="51"/>
      <c r="F44" s="48"/>
      <c r="G44" s="48"/>
      <c r="H44" s="48"/>
      <c r="I44" s="48"/>
      <c r="J44" s="48"/>
      <c r="K44" s="48"/>
      <c r="L44" s="48"/>
      <c r="M44" s="48"/>
      <c r="N44" s="48"/>
      <c r="O44" s="52"/>
      <c r="P44" s="48"/>
      <c r="Q44" s="48"/>
      <c r="R44" s="48"/>
      <c r="S44" s="48"/>
      <c r="T44" s="48"/>
      <c r="U44" s="48"/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s="56" customFormat="1" ht="15">
      <c r="A45" s="55"/>
      <c r="C45" s="49"/>
      <c r="D45" s="49"/>
      <c r="E45" s="51"/>
      <c r="F45" s="48"/>
      <c r="G45" s="48"/>
      <c r="H45" s="48"/>
      <c r="I45" s="48"/>
      <c r="J45" s="48"/>
      <c r="K45" s="48"/>
      <c r="L45" s="48"/>
      <c r="M45" s="48"/>
      <c r="N45" s="48"/>
      <c r="O45" s="52"/>
      <c r="P45" s="48"/>
      <c r="Q45" s="48"/>
      <c r="R45" s="48"/>
      <c r="S45" s="48"/>
      <c r="T45" s="48"/>
      <c r="U45" s="48"/>
      <c r="V45" s="4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s="56" customFormat="1" ht="15">
      <c r="A46" s="55"/>
      <c r="C46" s="49"/>
      <c r="D46" s="49"/>
      <c r="E46" s="51"/>
      <c r="F46" s="48"/>
      <c r="G46" s="48"/>
      <c r="H46" s="48"/>
      <c r="I46" s="48"/>
      <c r="J46" s="48"/>
      <c r="K46" s="48"/>
      <c r="L46" s="48"/>
      <c r="M46" s="48"/>
      <c r="N46" s="48"/>
      <c r="O46" s="52"/>
      <c r="P46" s="48"/>
      <c r="Q46" s="48"/>
      <c r="R46" s="48"/>
      <c r="S46" s="48"/>
      <c r="T46" s="48"/>
      <c r="U46" s="48"/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s="56" customFormat="1" ht="15">
      <c r="A47" s="55"/>
      <c r="C47" s="49"/>
      <c r="D47" s="49"/>
      <c r="E47" s="51"/>
      <c r="F47" s="48"/>
      <c r="G47" s="48"/>
      <c r="H47" s="48"/>
      <c r="I47" s="48"/>
      <c r="J47" s="48"/>
      <c r="K47" s="48"/>
      <c r="L47" s="48"/>
      <c r="M47" s="48"/>
      <c r="N47" s="48"/>
      <c r="O47" s="52"/>
      <c r="P47" s="48"/>
      <c r="Q47" s="48"/>
      <c r="R47" s="48"/>
      <c r="S47" s="48"/>
      <c r="T47" s="48"/>
      <c r="U47" s="48"/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s="56" customFormat="1" ht="15">
      <c r="A48" s="55"/>
      <c r="C48" s="49"/>
      <c r="D48" s="49"/>
      <c r="E48" s="51"/>
      <c r="F48" s="48"/>
      <c r="G48" s="48"/>
      <c r="H48" s="48"/>
      <c r="I48" s="48"/>
      <c r="J48" s="48"/>
      <c r="K48" s="48"/>
      <c r="L48" s="48"/>
      <c r="M48" s="48"/>
      <c r="N48" s="48"/>
      <c r="O48" s="52"/>
      <c r="P48" s="48"/>
      <c r="Q48" s="48"/>
      <c r="R48" s="48"/>
      <c r="S48" s="48"/>
      <c r="T48" s="48"/>
      <c r="U48" s="48"/>
      <c r="V48" s="48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</sheetData>
  <sheetProtection/>
  <mergeCells count="35">
    <mergeCell ref="AN6:AN7"/>
    <mergeCell ref="AB6:AB7"/>
    <mergeCell ref="AC6:AF6"/>
    <mergeCell ref="AG6:AG7"/>
    <mergeCell ref="AH6:AH7"/>
    <mergeCell ref="AI6:AL6"/>
    <mergeCell ref="AM6:AM7"/>
    <mergeCell ref="AA6:AA7"/>
    <mergeCell ref="AI5:AL5"/>
    <mergeCell ref="C6:D6"/>
    <mergeCell ref="E6:E7"/>
    <mergeCell ref="F6:F7"/>
    <mergeCell ref="G6:H6"/>
    <mergeCell ref="I6:I7"/>
    <mergeCell ref="J6:K6"/>
    <mergeCell ref="L6:L7"/>
    <mergeCell ref="M6:N6"/>
    <mergeCell ref="AC5:AF5"/>
    <mergeCell ref="O6:O7"/>
    <mergeCell ref="P6:T6"/>
    <mergeCell ref="U6:U7"/>
    <mergeCell ref="V6:V7"/>
    <mergeCell ref="W6:Z6"/>
    <mergeCell ref="M4:N4"/>
    <mergeCell ref="J5:K5"/>
    <mergeCell ref="M5:N5"/>
    <mergeCell ref="P5:T5"/>
    <mergeCell ref="W5:Z5"/>
    <mergeCell ref="B1:E1"/>
    <mergeCell ref="F1:R1"/>
    <mergeCell ref="C3:E3"/>
    <mergeCell ref="G3:H3"/>
    <mergeCell ref="J3:K3"/>
    <mergeCell ref="M3:N3"/>
    <mergeCell ref="P3:R3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8"/>
  <sheetViews>
    <sheetView zoomScalePageLayoutView="0" workbookViewId="0" topLeftCell="A1">
      <selection activeCell="B16" sqref="B16:V1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6" t="s">
        <v>74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</row>
    <row r="3" spans="2:18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</row>
    <row r="4" spans="2:18" ht="1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28" ht="15">
      <c r="B5" s="7" t="s">
        <v>78</v>
      </c>
      <c r="C5" s="13">
        <v>400</v>
      </c>
      <c r="D5" s="10"/>
      <c r="E5" s="10"/>
      <c r="F5" s="10"/>
      <c r="G5" s="10"/>
      <c r="H5" s="13">
        <f>E5+F5-D5</f>
        <v>0</v>
      </c>
      <c r="I5" s="13"/>
      <c r="J5" s="13">
        <v>400</v>
      </c>
      <c r="K5" s="13">
        <v>400</v>
      </c>
      <c r="L5" s="13">
        <v>400</v>
      </c>
      <c r="M5" s="13">
        <v>400</v>
      </c>
      <c r="N5" s="3"/>
      <c r="O5" s="3"/>
      <c r="P5" s="3"/>
      <c r="Q5" s="3"/>
      <c r="R5" s="3"/>
      <c r="T5" s="164"/>
      <c r="U5" s="164"/>
      <c r="V5" s="164"/>
      <c r="W5" s="164"/>
      <c r="X5" s="164"/>
      <c r="Y5" s="164"/>
      <c r="Z5" s="164"/>
      <c r="AA5" s="164"/>
      <c r="AB5" s="164"/>
    </row>
    <row r="6" spans="2:28" ht="15">
      <c r="B6" s="7" t="s">
        <v>68</v>
      </c>
      <c r="C6" s="13">
        <v>0</v>
      </c>
      <c r="D6" s="13">
        <v>0</v>
      </c>
      <c r="E6" s="13">
        <v>75</v>
      </c>
      <c r="F6" s="10"/>
      <c r="G6" s="10"/>
      <c r="H6" s="13">
        <f>E6+F6-D6</f>
        <v>75</v>
      </c>
      <c r="I6" s="13"/>
      <c r="J6" s="13">
        <v>450</v>
      </c>
      <c r="K6" s="13">
        <f>J6*1.03</f>
        <v>463.5</v>
      </c>
      <c r="L6" s="13">
        <f>K6*1.03</f>
        <v>477.40500000000003</v>
      </c>
      <c r="M6" s="13">
        <f>L6*1.03</f>
        <v>491.72715000000005</v>
      </c>
      <c r="N6" s="3"/>
      <c r="O6" s="3"/>
      <c r="P6" s="3"/>
      <c r="Q6" s="3"/>
      <c r="R6" s="3"/>
      <c r="T6" s="164"/>
      <c r="U6" s="164"/>
      <c r="V6" s="164"/>
      <c r="W6" s="164"/>
      <c r="X6" s="164"/>
      <c r="Y6" s="164"/>
      <c r="Z6" s="164"/>
      <c r="AA6" s="164"/>
      <c r="AB6" s="164"/>
    </row>
    <row r="7" spans="2:28" ht="15">
      <c r="B7" s="7" t="s">
        <v>79</v>
      </c>
      <c r="C7" s="13">
        <v>1100</v>
      </c>
      <c r="D7" s="13">
        <v>106</v>
      </c>
      <c r="E7" s="13">
        <v>106</v>
      </c>
      <c r="F7" s="10"/>
      <c r="G7" s="10"/>
      <c r="H7" s="13">
        <f>E7+F7-D7</f>
        <v>0</v>
      </c>
      <c r="I7" s="13"/>
      <c r="J7" s="13">
        <v>1100</v>
      </c>
      <c r="K7" s="13">
        <f>J7*1.03</f>
        <v>1133</v>
      </c>
      <c r="L7" s="13">
        <f>K7*1.03</f>
        <v>1166.99</v>
      </c>
      <c r="M7" s="13">
        <f>L7*1.03</f>
        <v>1201.9997</v>
      </c>
      <c r="N7" s="3"/>
      <c r="O7" s="3"/>
      <c r="P7" s="3"/>
      <c r="Q7" s="3"/>
      <c r="R7" s="3"/>
      <c r="T7" s="164"/>
      <c r="U7" s="164"/>
      <c r="V7" s="164"/>
      <c r="W7" s="164"/>
      <c r="X7" s="164"/>
      <c r="Y7" s="164"/>
      <c r="Z7" s="164"/>
      <c r="AA7" s="164"/>
      <c r="AB7" s="164"/>
    </row>
    <row r="8" spans="2:18" ht="15">
      <c r="B8" s="6" t="s">
        <v>80</v>
      </c>
      <c r="C8" s="10">
        <f>SUM(C5:C7)</f>
        <v>1500</v>
      </c>
      <c r="D8" s="10">
        <f aca="true" t="shared" si="0" ref="D8:M8">SUM(D5:D7)</f>
        <v>106</v>
      </c>
      <c r="E8" s="10">
        <f t="shared" si="0"/>
        <v>181</v>
      </c>
      <c r="F8" s="10">
        <f t="shared" si="0"/>
        <v>0</v>
      </c>
      <c r="G8" s="10">
        <f>SUM(G5:G7)</f>
        <v>0</v>
      </c>
      <c r="H8" s="10">
        <f>SUM(H5:H7)</f>
        <v>75</v>
      </c>
      <c r="I8" s="10">
        <f>SUM(I5:I7)</f>
        <v>0</v>
      </c>
      <c r="J8" s="10">
        <f>SUM(J5:J7)</f>
        <v>1950</v>
      </c>
      <c r="K8" s="10">
        <f t="shared" si="0"/>
        <v>1996.5</v>
      </c>
      <c r="L8" s="10">
        <f t="shared" si="0"/>
        <v>2044.395</v>
      </c>
      <c r="M8" s="10">
        <f t="shared" si="0"/>
        <v>2093.72685</v>
      </c>
      <c r="N8" s="3"/>
      <c r="O8" s="3"/>
      <c r="P8" s="3"/>
      <c r="Q8" s="3"/>
      <c r="R8" s="3"/>
    </row>
    <row r="9" spans="2:18" ht="1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3"/>
      <c r="P9" s="3"/>
      <c r="Q9" s="3"/>
      <c r="R9" s="3"/>
    </row>
    <row r="10" spans="2:18" ht="15">
      <c r="B10" s="6" t="s">
        <v>70</v>
      </c>
      <c r="C10" s="10">
        <f>C8</f>
        <v>1500</v>
      </c>
      <c r="D10" s="10">
        <f aca="true" t="shared" si="1" ref="D10:M10">D8</f>
        <v>106</v>
      </c>
      <c r="E10" s="10">
        <f t="shared" si="1"/>
        <v>181</v>
      </c>
      <c r="F10" s="10">
        <f t="shared" si="1"/>
        <v>0</v>
      </c>
      <c r="G10" s="10">
        <f>G8</f>
        <v>0</v>
      </c>
      <c r="H10" s="10">
        <f>H8</f>
        <v>75</v>
      </c>
      <c r="I10" s="10">
        <f>I8</f>
        <v>0</v>
      </c>
      <c r="J10" s="10">
        <f>J8</f>
        <v>1950</v>
      </c>
      <c r="K10" s="10">
        <f t="shared" si="1"/>
        <v>1996.5</v>
      </c>
      <c r="L10" s="10">
        <f t="shared" si="1"/>
        <v>2044.395</v>
      </c>
      <c r="M10" s="10">
        <f t="shared" si="1"/>
        <v>2093.72685</v>
      </c>
      <c r="N10" s="3"/>
      <c r="O10" s="3"/>
      <c r="P10" s="3"/>
      <c r="Q10" s="3"/>
      <c r="R10" s="3"/>
    </row>
    <row r="11" spans="2:18" ht="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ht="15">
      <c r="B12" s="6" t="s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>E12+F12-D12</f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3"/>
      <c r="O12" s="3"/>
      <c r="P12" s="3"/>
      <c r="Q12" s="3"/>
      <c r="R12" s="3"/>
    </row>
    <row r="13" spans="2:18" ht="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</row>
    <row r="14" spans="2:18" ht="15">
      <c r="B14" s="6" t="s">
        <v>73</v>
      </c>
      <c r="C14" s="10">
        <f>C10+C12</f>
        <v>1500</v>
      </c>
      <c r="D14" s="10">
        <f aca="true" t="shared" si="2" ref="D14:M14">D10+D12</f>
        <v>106</v>
      </c>
      <c r="E14" s="10">
        <f t="shared" si="2"/>
        <v>181</v>
      </c>
      <c r="F14" s="10">
        <f t="shared" si="2"/>
        <v>0</v>
      </c>
      <c r="G14" s="10">
        <f>G10+G12</f>
        <v>0</v>
      </c>
      <c r="H14" s="10">
        <f>H10+H12</f>
        <v>75</v>
      </c>
      <c r="I14" s="10">
        <f>I10+I12</f>
        <v>0</v>
      </c>
      <c r="J14" s="10">
        <f>J10+J12</f>
        <v>1950</v>
      </c>
      <c r="K14" s="10">
        <f t="shared" si="2"/>
        <v>1996.5</v>
      </c>
      <c r="L14" s="10">
        <f t="shared" si="2"/>
        <v>2044.395</v>
      </c>
      <c r="M14" s="10">
        <f t="shared" si="2"/>
        <v>2093.72685</v>
      </c>
      <c r="N14" s="3"/>
      <c r="O14" s="3"/>
      <c r="P14" s="3"/>
      <c r="Q14" s="3"/>
      <c r="R14" s="3"/>
    </row>
    <row r="16" ht="15">
      <c r="B16" s="2"/>
    </row>
    <row r="17" spans="2:13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3:13" ht="15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</sheetData>
  <sheetProtection/>
  <mergeCells count="1">
    <mergeCell ref="T5:AB7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57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81</v>
      </c>
      <c r="C5" s="13">
        <v>1300</v>
      </c>
      <c r="D5" s="10"/>
      <c r="E5" s="10"/>
      <c r="F5" s="10"/>
      <c r="G5" s="10"/>
      <c r="H5" s="13">
        <f>E5+F5-D5</f>
        <v>0</v>
      </c>
      <c r="I5" s="13"/>
      <c r="J5" s="13">
        <v>1300</v>
      </c>
      <c r="K5" s="13">
        <v>1300</v>
      </c>
      <c r="L5" s="13">
        <v>1300</v>
      </c>
      <c r="M5" s="13">
        <v>1300</v>
      </c>
      <c r="N5" s="3"/>
      <c r="O5" s="3"/>
      <c r="P5" s="3"/>
      <c r="Q5" s="3"/>
      <c r="R5" s="3"/>
    </row>
    <row r="6" spans="2:18" ht="15">
      <c r="B6" s="6" t="s">
        <v>80</v>
      </c>
      <c r="C6" s="10">
        <f aca="true" t="shared" si="0" ref="C6:M6">SUM(C5:C5)</f>
        <v>1300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>SUM(G5:G5)</f>
        <v>0</v>
      </c>
      <c r="H6" s="10">
        <f>SUM(H5:H5)</f>
        <v>0</v>
      </c>
      <c r="I6" s="10">
        <f>SUM(I5:I5)</f>
        <v>0</v>
      </c>
      <c r="J6" s="10">
        <f>SUM(J5:J5)</f>
        <v>1300</v>
      </c>
      <c r="K6" s="10">
        <f t="shared" si="0"/>
        <v>1300</v>
      </c>
      <c r="L6" s="10">
        <f t="shared" si="0"/>
        <v>1300</v>
      </c>
      <c r="M6" s="10">
        <f t="shared" si="0"/>
        <v>1300</v>
      </c>
      <c r="N6" s="3"/>
      <c r="O6" s="3"/>
      <c r="P6" s="3"/>
      <c r="Q6" s="3"/>
      <c r="R6" s="3"/>
    </row>
    <row r="7" spans="2:18" ht="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18" ht="15">
      <c r="B8" s="6" t="s">
        <v>70</v>
      </c>
      <c r="C8" s="10">
        <f>C6</f>
        <v>1300</v>
      </c>
      <c r="D8" s="10">
        <f aca="true" t="shared" si="1" ref="D8:M8">D6</f>
        <v>0</v>
      </c>
      <c r="E8" s="10">
        <f t="shared" si="1"/>
        <v>0</v>
      </c>
      <c r="F8" s="10">
        <f t="shared" si="1"/>
        <v>0</v>
      </c>
      <c r="G8" s="10">
        <f>G6</f>
        <v>0</v>
      </c>
      <c r="H8" s="10">
        <f>H6</f>
        <v>0</v>
      </c>
      <c r="I8" s="10">
        <f>I6</f>
        <v>0</v>
      </c>
      <c r="J8" s="10">
        <f>J6</f>
        <v>1300</v>
      </c>
      <c r="K8" s="10">
        <f t="shared" si="1"/>
        <v>1300</v>
      </c>
      <c r="L8" s="10">
        <f t="shared" si="1"/>
        <v>1300</v>
      </c>
      <c r="M8" s="10">
        <f t="shared" si="1"/>
        <v>1300</v>
      </c>
      <c r="N8" s="3"/>
      <c r="O8" s="3"/>
      <c r="P8" s="3"/>
      <c r="Q8" s="3"/>
      <c r="R8" s="3"/>
    </row>
    <row r="9" spans="2:18" ht="1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3"/>
      <c r="P9" s="3"/>
      <c r="Q9" s="3"/>
      <c r="R9" s="3"/>
    </row>
    <row r="10" spans="2:18" ht="15">
      <c r="B10" s="7" t="s">
        <v>147</v>
      </c>
      <c r="C10" s="13">
        <v>-80000</v>
      </c>
      <c r="D10" s="10"/>
      <c r="E10" s="10"/>
      <c r="F10" s="10"/>
      <c r="G10" s="10"/>
      <c r="H10" s="13">
        <f>E10+F10-D10</f>
        <v>0</v>
      </c>
      <c r="I10" s="13"/>
      <c r="J10" s="13">
        <v>-80000</v>
      </c>
      <c r="K10" s="13">
        <v>-80000</v>
      </c>
      <c r="L10" s="13">
        <v>-80000</v>
      </c>
      <c r="M10" s="13">
        <v>-80000</v>
      </c>
      <c r="N10" s="3"/>
      <c r="O10" s="3"/>
      <c r="P10" s="3"/>
      <c r="Q10" s="3"/>
      <c r="R10" s="3"/>
    </row>
    <row r="11" spans="2:18" ht="15">
      <c r="B11" s="6" t="s">
        <v>0</v>
      </c>
      <c r="C11" s="10">
        <f>C10</f>
        <v>-80000</v>
      </c>
      <c r="D11" s="10">
        <f aca="true" t="shared" si="2" ref="D11:M11">D10</f>
        <v>0</v>
      </c>
      <c r="E11" s="10">
        <f t="shared" si="2"/>
        <v>0</v>
      </c>
      <c r="F11" s="10">
        <f t="shared" si="2"/>
        <v>0</v>
      </c>
      <c r="G11" s="10">
        <f>G10</f>
        <v>0</v>
      </c>
      <c r="H11" s="10">
        <f>H10</f>
        <v>0</v>
      </c>
      <c r="I11" s="10">
        <f>I10</f>
        <v>0</v>
      </c>
      <c r="J11" s="10">
        <f>J10</f>
        <v>-80000</v>
      </c>
      <c r="K11" s="10">
        <f t="shared" si="2"/>
        <v>-80000</v>
      </c>
      <c r="L11" s="10">
        <f t="shared" si="2"/>
        <v>-80000</v>
      </c>
      <c r="M11" s="10">
        <f t="shared" si="2"/>
        <v>-80000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6" t="s">
        <v>73</v>
      </c>
      <c r="C13" s="10">
        <f aca="true" t="shared" si="3" ref="C13:M13">C8+C11</f>
        <v>-78700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>G8+G11</f>
        <v>0</v>
      </c>
      <c r="H13" s="10">
        <f>H8+H11</f>
        <v>0</v>
      </c>
      <c r="I13" s="10">
        <f>I8+I11</f>
        <v>0</v>
      </c>
      <c r="J13" s="10">
        <f>J8+J11</f>
        <v>-78700</v>
      </c>
      <c r="K13" s="10">
        <f t="shared" si="3"/>
        <v>-78700</v>
      </c>
      <c r="L13" s="10">
        <f t="shared" si="3"/>
        <v>-78700</v>
      </c>
      <c r="M13" s="10">
        <f t="shared" si="3"/>
        <v>-78700</v>
      </c>
      <c r="N13" s="3"/>
      <c r="O13" s="3"/>
      <c r="P13" s="3"/>
      <c r="Q13" s="3"/>
      <c r="R13" s="3"/>
    </row>
    <row r="15" ht="15">
      <c r="B15" s="2"/>
    </row>
    <row r="16" ht="15">
      <c r="B16" s="20"/>
    </row>
    <row r="17" ht="15">
      <c r="B17" s="22"/>
    </row>
    <row r="18" ht="15">
      <c r="B18" s="2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B19" sqref="B19:L2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34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0</v>
      </c>
      <c r="D5" s="13">
        <v>0</v>
      </c>
      <c r="E5" s="13">
        <v>171</v>
      </c>
      <c r="F5" s="13">
        <v>120</v>
      </c>
      <c r="G5" s="13"/>
      <c r="H5" s="13">
        <f>E5+F5-D5</f>
        <v>291</v>
      </c>
      <c r="I5" s="13"/>
      <c r="J5" s="13">
        <v>1345</v>
      </c>
      <c r="K5" s="13">
        <f>J5*1.03</f>
        <v>1385.3500000000001</v>
      </c>
      <c r="L5" s="13">
        <f>K5*1.03</f>
        <v>1426.9105000000002</v>
      </c>
      <c r="M5" s="13">
        <f>L5*1.03</f>
        <v>1469.7178150000002</v>
      </c>
      <c r="N5" s="3"/>
      <c r="O5" s="3"/>
      <c r="P5" s="3"/>
      <c r="Q5" s="3"/>
      <c r="R5" s="3"/>
    </row>
    <row r="6" spans="2:18" ht="15">
      <c r="B6" s="6" t="s">
        <v>80</v>
      </c>
      <c r="C6" s="10">
        <f aca="true" t="shared" si="0" ref="C6:M6">SUM(C5:C5)</f>
        <v>0</v>
      </c>
      <c r="D6" s="10">
        <f t="shared" si="0"/>
        <v>0</v>
      </c>
      <c r="E6" s="10">
        <f t="shared" si="0"/>
        <v>171</v>
      </c>
      <c r="F6" s="10">
        <f t="shared" si="0"/>
        <v>120</v>
      </c>
      <c r="G6" s="10"/>
      <c r="H6" s="10">
        <f t="shared" si="0"/>
        <v>291</v>
      </c>
      <c r="I6" s="10"/>
      <c r="J6" s="10">
        <f>SUM(J5:J5)</f>
        <v>1345</v>
      </c>
      <c r="K6" s="10">
        <f t="shared" si="0"/>
        <v>1385.3500000000001</v>
      </c>
      <c r="L6" s="10">
        <f t="shared" si="0"/>
        <v>1426.9105000000002</v>
      </c>
      <c r="M6" s="10">
        <f t="shared" si="0"/>
        <v>1469.7178150000002</v>
      </c>
      <c r="N6" s="3"/>
      <c r="O6" s="3"/>
      <c r="P6" s="3"/>
      <c r="Q6" s="3"/>
      <c r="R6" s="3"/>
    </row>
    <row r="7" spans="2:18" ht="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18" ht="15">
      <c r="B8" s="7" t="s">
        <v>69</v>
      </c>
      <c r="C8" s="13">
        <v>2400</v>
      </c>
      <c r="D8" s="13">
        <v>2400</v>
      </c>
      <c r="E8" s="10"/>
      <c r="F8" s="10"/>
      <c r="G8" s="10"/>
      <c r="H8" s="13">
        <f>E8+F8-D8</f>
        <v>-2400</v>
      </c>
      <c r="I8" s="13"/>
      <c r="J8" s="13">
        <v>0</v>
      </c>
      <c r="K8" s="13">
        <v>0</v>
      </c>
      <c r="L8" s="13">
        <v>0</v>
      </c>
      <c r="M8" s="13">
        <v>0</v>
      </c>
      <c r="N8" s="3"/>
      <c r="O8" s="3"/>
      <c r="P8" s="3"/>
      <c r="Q8" s="3"/>
      <c r="R8" s="3"/>
    </row>
    <row r="9" spans="2:18" ht="15">
      <c r="B9" s="6" t="s">
        <v>88</v>
      </c>
      <c r="C9" s="10">
        <f aca="true" t="shared" si="1" ref="C9:M9">SUM(C8:C8)</f>
        <v>2400</v>
      </c>
      <c r="D9" s="10">
        <f t="shared" si="1"/>
        <v>2400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-2400</v>
      </c>
      <c r="I9" s="10">
        <f t="shared" si="1"/>
        <v>0</v>
      </c>
      <c r="J9" s="10">
        <f>SUM(J8:J8)</f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3"/>
      <c r="O9" s="3"/>
      <c r="P9" s="3"/>
      <c r="Q9" s="3"/>
      <c r="R9" s="3"/>
    </row>
    <row r="10" spans="2:18" ht="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18" ht="15">
      <c r="B11" s="6" t="s">
        <v>139</v>
      </c>
      <c r="C11" s="10">
        <v>290000</v>
      </c>
      <c r="D11" s="10">
        <f>E11+F11</f>
        <v>136005.84791386273</v>
      </c>
      <c r="E11" s="10">
        <v>90215</v>
      </c>
      <c r="F11" s="10">
        <v>45790.847913862715</v>
      </c>
      <c r="G11" s="10">
        <f>J11-F11-E11</f>
        <v>117894.15208613727</v>
      </c>
      <c r="H11" s="10">
        <f>E11+F11-D11</f>
        <v>0</v>
      </c>
      <c r="I11" s="10">
        <v>18042.960969044412</v>
      </c>
      <c r="J11" s="10">
        <v>253900</v>
      </c>
      <c r="K11" s="10">
        <f>J11*1.035</f>
        <v>262786.5</v>
      </c>
      <c r="L11" s="10">
        <f>K11*1.03</f>
        <v>270670.09500000003</v>
      </c>
      <c r="M11" s="10">
        <f>L11*1.03</f>
        <v>278790.19785000006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6" t="s">
        <v>70</v>
      </c>
      <c r="C13" s="10">
        <f>C6+C9+C11</f>
        <v>292400</v>
      </c>
      <c r="D13" s="10">
        <f aca="true" t="shared" si="2" ref="D13:M13">D6+D9+D11</f>
        <v>138405.84791386273</v>
      </c>
      <c r="E13" s="10">
        <f t="shared" si="2"/>
        <v>90386</v>
      </c>
      <c r="F13" s="10">
        <f t="shared" si="2"/>
        <v>45910.847913862715</v>
      </c>
      <c r="G13" s="10">
        <f>G6+G9+G11</f>
        <v>117894.15208613727</v>
      </c>
      <c r="H13" s="10">
        <f t="shared" si="2"/>
        <v>-2109</v>
      </c>
      <c r="I13" s="10">
        <f>I6+I9+I11</f>
        <v>18042.960969044412</v>
      </c>
      <c r="J13" s="10">
        <f>J6+J9+J11</f>
        <v>255245</v>
      </c>
      <c r="K13" s="10">
        <f t="shared" si="2"/>
        <v>264171.85</v>
      </c>
      <c r="L13" s="10">
        <f t="shared" si="2"/>
        <v>272097.0055</v>
      </c>
      <c r="M13" s="10">
        <f t="shared" si="2"/>
        <v>280259.91566500004</v>
      </c>
      <c r="N13" s="3"/>
      <c r="O13" s="3"/>
      <c r="P13" s="3"/>
      <c r="Q13" s="3"/>
      <c r="R13" s="3"/>
    </row>
    <row r="14" spans="2:18" ht="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18" ht="15">
      <c r="B15" s="6" t="s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>E15+F15+G15-D15</f>
        <v>0</v>
      </c>
      <c r="I15" s="10">
        <v>0</v>
      </c>
      <c r="J15" s="10">
        <v>0</v>
      </c>
      <c r="K15" s="10">
        <f>F15+H15-E15</f>
        <v>0</v>
      </c>
      <c r="L15" s="10">
        <f>H15+K15-F15</f>
        <v>0</v>
      </c>
      <c r="M15" s="10">
        <f>K15+L15-H15</f>
        <v>0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6" t="s">
        <v>73</v>
      </c>
      <c r="C17" s="10">
        <f aca="true" t="shared" si="3" ref="C17:M17">C13+C15</f>
        <v>292400</v>
      </c>
      <c r="D17" s="10">
        <f t="shared" si="3"/>
        <v>138405.84791386273</v>
      </c>
      <c r="E17" s="10">
        <f t="shared" si="3"/>
        <v>90386</v>
      </c>
      <c r="F17" s="10">
        <f t="shared" si="3"/>
        <v>45910.847913862715</v>
      </c>
      <c r="G17" s="10">
        <f>G13+G15</f>
        <v>117894.15208613727</v>
      </c>
      <c r="H17" s="10">
        <f t="shared" si="3"/>
        <v>-2109</v>
      </c>
      <c r="I17" s="10">
        <f>I13+I15</f>
        <v>18042.960969044412</v>
      </c>
      <c r="J17" s="10">
        <f>J13+J15</f>
        <v>255245</v>
      </c>
      <c r="K17" s="10">
        <f t="shared" si="3"/>
        <v>264171.85</v>
      </c>
      <c r="L17" s="10">
        <f t="shared" si="3"/>
        <v>272097.0055</v>
      </c>
      <c r="M17" s="10">
        <f t="shared" si="3"/>
        <v>280259.91566500004</v>
      </c>
      <c r="N17" s="3"/>
      <c r="O17" s="3"/>
      <c r="P17" s="3"/>
      <c r="Q17" s="3"/>
      <c r="R17" s="3"/>
    </row>
    <row r="19" ht="15">
      <c r="B19" s="24"/>
    </row>
    <row r="20" ht="15">
      <c r="B20" s="20"/>
    </row>
    <row r="21" ht="15">
      <c r="B21" s="20"/>
    </row>
    <row r="22" ht="15">
      <c r="B22" s="20"/>
    </row>
    <row r="23" ht="15">
      <c r="B23" s="2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B18" sqref="B18:Y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6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1100</v>
      </c>
      <c r="D5" s="10"/>
      <c r="E5" s="10"/>
      <c r="F5" s="10"/>
      <c r="G5" s="10"/>
      <c r="H5" s="13">
        <f>E5+F5-D5</f>
        <v>0</v>
      </c>
      <c r="I5" s="13"/>
      <c r="J5" s="13">
        <v>1100</v>
      </c>
      <c r="K5" s="13">
        <f>J5*1.03</f>
        <v>1133</v>
      </c>
      <c r="L5" s="13">
        <f>K5*1.03</f>
        <v>1166.99</v>
      </c>
      <c r="M5" s="13">
        <f>L5*1.03</f>
        <v>1201.9997</v>
      </c>
      <c r="N5" s="3"/>
      <c r="O5" s="3"/>
      <c r="P5" s="3"/>
      <c r="Q5" s="3"/>
      <c r="R5" s="3"/>
    </row>
    <row r="6" spans="2:18" ht="15">
      <c r="B6" s="6" t="s">
        <v>80</v>
      </c>
      <c r="C6" s="10">
        <f aca="true" t="shared" si="0" ref="C6:M6">SUM(C5:C5)</f>
        <v>1100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>SUM(G5:G5)</f>
        <v>0</v>
      </c>
      <c r="H6" s="10">
        <f t="shared" si="0"/>
        <v>0</v>
      </c>
      <c r="I6" s="10">
        <f>SUM(I5:I5)</f>
        <v>0</v>
      </c>
      <c r="J6" s="10">
        <f>SUM(J5:J5)</f>
        <v>1100</v>
      </c>
      <c r="K6" s="10">
        <f t="shared" si="0"/>
        <v>1133</v>
      </c>
      <c r="L6" s="10">
        <f t="shared" si="0"/>
        <v>1166.99</v>
      </c>
      <c r="M6" s="10">
        <f t="shared" si="0"/>
        <v>1201.9997</v>
      </c>
      <c r="N6" s="3"/>
      <c r="O6" s="3"/>
      <c r="P6" s="3"/>
      <c r="Q6" s="3"/>
      <c r="R6" s="3"/>
    </row>
    <row r="7" spans="2:18" ht="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18" ht="15">
      <c r="B8" s="7" t="s">
        <v>146</v>
      </c>
      <c r="C8" s="13">
        <v>1800</v>
      </c>
      <c r="D8" s="13">
        <v>120</v>
      </c>
      <c r="E8" s="13">
        <v>120</v>
      </c>
      <c r="F8" s="10"/>
      <c r="G8" s="10"/>
      <c r="H8" s="13">
        <f>E8+F8-D8</f>
        <v>0</v>
      </c>
      <c r="I8" s="10"/>
      <c r="J8" s="13">
        <v>1800</v>
      </c>
      <c r="K8" s="13">
        <v>1800</v>
      </c>
      <c r="L8" s="13">
        <v>1800</v>
      </c>
      <c r="M8" s="13">
        <v>1800</v>
      </c>
      <c r="N8" s="3"/>
      <c r="O8" s="3"/>
      <c r="P8" s="3"/>
      <c r="Q8" s="3"/>
      <c r="R8" s="3"/>
    </row>
    <row r="9" spans="2:18" ht="15">
      <c r="B9" s="6" t="s">
        <v>88</v>
      </c>
      <c r="C9" s="10">
        <f aca="true" t="shared" si="1" ref="C9:M9">SUM(C8:C8)</f>
        <v>1800</v>
      </c>
      <c r="D9" s="10">
        <f t="shared" si="1"/>
        <v>120</v>
      </c>
      <c r="E9" s="10">
        <f t="shared" si="1"/>
        <v>120</v>
      </c>
      <c r="F9" s="10">
        <f t="shared" si="1"/>
        <v>0</v>
      </c>
      <c r="G9" s="10">
        <f>SUM(G8:G8)</f>
        <v>0</v>
      </c>
      <c r="H9" s="10">
        <f t="shared" si="1"/>
        <v>0</v>
      </c>
      <c r="I9" s="10">
        <f>SUM(I8:I8)</f>
        <v>0</v>
      </c>
      <c r="J9" s="10">
        <f t="shared" si="1"/>
        <v>1800</v>
      </c>
      <c r="K9" s="10">
        <f t="shared" si="1"/>
        <v>1800</v>
      </c>
      <c r="L9" s="10">
        <f t="shared" si="1"/>
        <v>1800</v>
      </c>
      <c r="M9" s="10">
        <f t="shared" si="1"/>
        <v>1800</v>
      </c>
      <c r="N9" s="3"/>
      <c r="O9" s="3"/>
      <c r="P9" s="3"/>
      <c r="Q9" s="3"/>
      <c r="R9" s="3"/>
    </row>
    <row r="10" spans="2:18" ht="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18" ht="15">
      <c r="B11" s="6" t="s">
        <v>70</v>
      </c>
      <c r="C11" s="10">
        <f aca="true" t="shared" si="2" ref="C11:M11">C6+C9</f>
        <v>2900</v>
      </c>
      <c r="D11" s="10">
        <f t="shared" si="2"/>
        <v>120</v>
      </c>
      <c r="E11" s="10">
        <f t="shared" si="2"/>
        <v>120</v>
      </c>
      <c r="F11" s="10">
        <f t="shared" si="2"/>
        <v>0</v>
      </c>
      <c r="G11" s="10">
        <f>G6+G9</f>
        <v>0</v>
      </c>
      <c r="H11" s="10">
        <f t="shared" si="2"/>
        <v>0</v>
      </c>
      <c r="I11" s="10">
        <f>I6+I9</f>
        <v>0</v>
      </c>
      <c r="J11" s="10">
        <f t="shared" si="2"/>
        <v>2900</v>
      </c>
      <c r="K11" s="10">
        <f t="shared" si="2"/>
        <v>2933</v>
      </c>
      <c r="L11" s="10">
        <f t="shared" si="2"/>
        <v>2966.99</v>
      </c>
      <c r="M11" s="10">
        <f t="shared" si="2"/>
        <v>3001.9997000000003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7" t="s">
        <v>89</v>
      </c>
      <c r="C13" s="13">
        <v>-5300</v>
      </c>
      <c r="D13" s="10"/>
      <c r="E13" s="10"/>
      <c r="F13" s="10"/>
      <c r="G13" s="10"/>
      <c r="H13" s="13">
        <f>E13+F13-D13</f>
        <v>0</v>
      </c>
      <c r="I13" s="10"/>
      <c r="J13" s="13">
        <v>-5300</v>
      </c>
      <c r="K13" s="13">
        <v>-5300</v>
      </c>
      <c r="L13" s="13">
        <v>-5300</v>
      </c>
      <c r="M13" s="13">
        <v>-5300</v>
      </c>
      <c r="N13" s="3"/>
      <c r="O13" s="3"/>
      <c r="P13" s="3"/>
      <c r="Q13" s="3"/>
      <c r="R13" s="3"/>
    </row>
    <row r="14" spans="2:18" ht="15">
      <c r="B14" s="6" t="s">
        <v>0</v>
      </c>
      <c r="C14" s="10">
        <f>C13</f>
        <v>-5300</v>
      </c>
      <c r="D14" s="10">
        <f aca="true" t="shared" si="3" ref="D14:M14">D13</f>
        <v>0</v>
      </c>
      <c r="E14" s="10">
        <f t="shared" si="3"/>
        <v>0</v>
      </c>
      <c r="F14" s="10">
        <f t="shared" si="3"/>
        <v>0</v>
      </c>
      <c r="G14" s="10">
        <f>G13</f>
        <v>0</v>
      </c>
      <c r="H14" s="10">
        <f t="shared" si="3"/>
        <v>0</v>
      </c>
      <c r="I14" s="10">
        <f>I13</f>
        <v>0</v>
      </c>
      <c r="J14" s="10">
        <f>J13</f>
        <v>-5300</v>
      </c>
      <c r="K14" s="10">
        <f t="shared" si="3"/>
        <v>-5300</v>
      </c>
      <c r="L14" s="10">
        <f t="shared" si="3"/>
        <v>-5300</v>
      </c>
      <c r="M14" s="10">
        <f t="shared" si="3"/>
        <v>-5300</v>
      </c>
      <c r="N14" s="3"/>
      <c r="O14" s="3"/>
      <c r="P14" s="3"/>
      <c r="Q14" s="3"/>
      <c r="R14" s="3"/>
    </row>
    <row r="15" spans="2:18" ht="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</row>
    <row r="16" spans="2:18" ht="15">
      <c r="B16" s="6" t="s">
        <v>73</v>
      </c>
      <c r="C16" s="10">
        <f aca="true" t="shared" si="4" ref="C16:M16">C11+C14</f>
        <v>-2400</v>
      </c>
      <c r="D16" s="10">
        <f t="shared" si="4"/>
        <v>120</v>
      </c>
      <c r="E16" s="10">
        <f t="shared" si="4"/>
        <v>120</v>
      </c>
      <c r="F16" s="10">
        <f t="shared" si="4"/>
        <v>0</v>
      </c>
      <c r="G16" s="10">
        <f>G11+G14</f>
        <v>0</v>
      </c>
      <c r="H16" s="10">
        <f t="shared" si="4"/>
        <v>0</v>
      </c>
      <c r="I16" s="10">
        <f>I11+I14</f>
        <v>0</v>
      </c>
      <c r="J16" s="10">
        <f>J11+J14</f>
        <v>-2400</v>
      </c>
      <c r="K16" s="10">
        <f t="shared" si="4"/>
        <v>-2367</v>
      </c>
      <c r="L16" s="10">
        <f t="shared" si="4"/>
        <v>-2333.01</v>
      </c>
      <c r="M16" s="10">
        <f t="shared" si="4"/>
        <v>-2298.0002999999997</v>
      </c>
      <c r="N16" s="3"/>
      <c r="O16" s="3"/>
      <c r="P16" s="3"/>
      <c r="Q16" s="3"/>
      <c r="R16" s="3"/>
    </row>
    <row r="18" ht="15">
      <c r="B18" s="2"/>
    </row>
    <row r="19" ht="15">
      <c r="B19" s="2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X9" sqref="X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8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90</v>
      </c>
      <c r="C5" s="13">
        <v>5100</v>
      </c>
      <c r="D5" s="13">
        <v>207</v>
      </c>
      <c r="E5" s="13">
        <v>207</v>
      </c>
      <c r="F5" s="13"/>
      <c r="G5" s="13"/>
      <c r="H5" s="13">
        <f>E5+F5-D5</f>
        <v>0</v>
      </c>
      <c r="I5" s="13"/>
      <c r="J5" s="13">
        <v>5100</v>
      </c>
      <c r="K5" s="13">
        <v>10000</v>
      </c>
      <c r="L5" s="13">
        <v>10000</v>
      </c>
      <c r="M5" s="13">
        <v>10000</v>
      </c>
      <c r="N5" s="3"/>
      <c r="O5" s="3"/>
      <c r="P5" s="3"/>
      <c r="Q5" s="3"/>
      <c r="R5" s="3"/>
    </row>
    <row r="6" spans="2:18" ht="15">
      <c r="B6" s="6" t="s">
        <v>80</v>
      </c>
      <c r="C6" s="10">
        <f aca="true" t="shared" si="0" ref="C6:M6">SUM(C5:C5)</f>
        <v>5100</v>
      </c>
      <c r="D6" s="10">
        <f t="shared" si="0"/>
        <v>207</v>
      </c>
      <c r="E6" s="10">
        <f t="shared" si="0"/>
        <v>207</v>
      </c>
      <c r="F6" s="10">
        <f t="shared" si="0"/>
        <v>0</v>
      </c>
      <c r="G6" s="10">
        <f>SUM(G5:G5)</f>
        <v>0</v>
      </c>
      <c r="H6" s="10">
        <f t="shared" si="0"/>
        <v>0</v>
      </c>
      <c r="I6" s="10">
        <f>SUM(I5:I5)</f>
        <v>0</v>
      </c>
      <c r="J6" s="10">
        <f>SUM(J5:J5)</f>
        <v>5100</v>
      </c>
      <c r="K6" s="10">
        <f t="shared" si="0"/>
        <v>10000</v>
      </c>
      <c r="L6" s="10">
        <f t="shared" si="0"/>
        <v>10000</v>
      </c>
      <c r="M6" s="10">
        <f t="shared" si="0"/>
        <v>10000</v>
      </c>
      <c r="N6" s="3"/>
      <c r="O6" s="3"/>
      <c r="P6" s="3"/>
      <c r="Q6" s="3"/>
      <c r="R6" s="3"/>
    </row>
    <row r="7" spans="2:18" ht="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"/>
      <c r="O7" s="3"/>
      <c r="P7" s="3"/>
      <c r="Q7" s="3"/>
      <c r="R7" s="3"/>
    </row>
    <row r="8" spans="2:18" ht="15">
      <c r="B8" s="7" t="s">
        <v>69</v>
      </c>
      <c r="C8" s="13">
        <v>4000</v>
      </c>
      <c r="D8" s="13">
        <v>4000</v>
      </c>
      <c r="E8" s="10"/>
      <c r="F8" s="10"/>
      <c r="G8" s="10"/>
      <c r="H8" s="13">
        <f>E8+F8-D8</f>
        <v>-4000</v>
      </c>
      <c r="I8" s="10"/>
      <c r="J8" s="13">
        <v>0</v>
      </c>
      <c r="K8" s="13">
        <v>0</v>
      </c>
      <c r="L8" s="13">
        <v>0</v>
      </c>
      <c r="M8" s="13">
        <v>0</v>
      </c>
      <c r="N8" s="3"/>
      <c r="O8" s="3"/>
      <c r="P8" s="3"/>
      <c r="Q8" s="3"/>
      <c r="R8" s="3"/>
    </row>
    <row r="9" spans="2:18" ht="15">
      <c r="B9" s="6" t="s">
        <v>88</v>
      </c>
      <c r="C9" s="10">
        <f aca="true" t="shared" si="1" ref="C9:M9">SUM(C8:C8)</f>
        <v>4000</v>
      </c>
      <c r="D9" s="10">
        <f t="shared" si="1"/>
        <v>4000</v>
      </c>
      <c r="E9" s="10">
        <f t="shared" si="1"/>
        <v>0</v>
      </c>
      <c r="F9" s="10">
        <f t="shared" si="1"/>
        <v>0</v>
      </c>
      <c r="G9" s="10">
        <f>SUM(G8:G8)</f>
        <v>0</v>
      </c>
      <c r="H9" s="10">
        <f t="shared" si="1"/>
        <v>-4000</v>
      </c>
      <c r="I9" s="10">
        <f>SUM(I8:I8)</f>
        <v>0</v>
      </c>
      <c r="J9" s="10">
        <f>SUM(J8:J8)</f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3"/>
      <c r="O9" s="3"/>
      <c r="P9" s="3"/>
      <c r="Q9" s="3"/>
      <c r="R9" s="3"/>
    </row>
    <row r="10" spans="2:18" ht="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  <c r="P10" s="3"/>
      <c r="Q10" s="3"/>
      <c r="R10" s="3"/>
    </row>
    <row r="11" spans="2:18" ht="15">
      <c r="B11" s="6" t="s">
        <v>149</v>
      </c>
      <c r="C11" s="10">
        <v>150000</v>
      </c>
      <c r="D11" s="10">
        <v>150000</v>
      </c>
      <c r="E11" s="10">
        <v>0</v>
      </c>
      <c r="F11" s="10">
        <v>150000</v>
      </c>
      <c r="G11" s="10">
        <v>0</v>
      </c>
      <c r="H11" s="10">
        <f>E11+F11-D11</f>
        <v>0</v>
      </c>
      <c r="I11" s="10">
        <v>0</v>
      </c>
      <c r="J11" s="10">
        <v>150000</v>
      </c>
      <c r="K11" s="10">
        <v>150000</v>
      </c>
      <c r="L11" s="10">
        <v>150000</v>
      </c>
      <c r="M11" s="10">
        <v>150000</v>
      </c>
      <c r="N11" s="3"/>
      <c r="O11" s="3"/>
      <c r="P11" s="3"/>
      <c r="Q11" s="3"/>
      <c r="R11" s="3"/>
    </row>
    <row r="12" spans="2:18" ht="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3"/>
      <c r="P12" s="3"/>
      <c r="Q12" s="3"/>
      <c r="R12" s="3"/>
    </row>
    <row r="13" spans="2:18" ht="15">
      <c r="B13" s="6" t="s">
        <v>70</v>
      </c>
      <c r="C13" s="10">
        <f>C6+C9+C11</f>
        <v>159100</v>
      </c>
      <c r="D13" s="10">
        <f>D6+D9+D11</f>
        <v>154207</v>
      </c>
      <c r="E13" s="10">
        <f>E6+E9+E11</f>
        <v>207</v>
      </c>
      <c r="F13" s="10">
        <f>F6+F9+F11</f>
        <v>150000</v>
      </c>
      <c r="G13" s="10">
        <f>G6+G9+G11</f>
        <v>0</v>
      </c>
      <c r="H13" s="10">
        <f>H6+H9+H11</f>
        <v>-4000</v>
      </c>
      <c r="I13" s="10">
        <f>I6+I9+I11</f>
        <v>0</v>
      </c>
      <c r="J13" s="10">
        <f>J6+J9+J11</f>
        <v>155100</v>
      </c>
      <c r="K13" s="10">
        <f>K6+K9+K11</f>
        <v>160000</v>
      </c>
      <c r="L13" s="10">
        <f>L6+L9+L11</f>
        <v>160000</v>
      </c>
      <c r="M13" s="10">
        <f>M6+M9+M11</f>
        <v>160000</v>
      </c>
      <c r="N13" s="3"/>
      <c r="O13" s="3"/>
      <c r="P13" s="3"/>
      <c r="Q13" s="3"/>
      <c r="R13" s="3"/>
    </row>
    <row r="14" spans="2:18" ht="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18" ht="15">
      <c r="B15" s="6" t="s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3">
        <f>E15+F15+G15-D15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6" t="s">
        <v>73</v>
      </c>
      <c r="C17" s="10">
        <f aca="true" t="shared" si="2" ref="C17:M17">C13+C15</f>
        <v>159100</v>
      </c>
      <c r="D17" s="10">
        <f t="shared" si="2"/>
        <v>154207</v>
      </c>
      <c r="E17" s="10">
        <f t="shared" si="2"/>
        <v>207</v>
      </c>
      <c r="F17" s="10">
        <f t="shared" si="2"/>
        <v>150000</v>
      </c>
      <c r="G17" s="10">
        <f>G13+G15</f>
        <v>0</v>
      </c>
      <c r="H17" s="10">
        <f t="shared" si="2"/>
        <v>-4000</v>
      </c>
      <c r="I17" s="10">
        <f>I13+I15</f>
        <v>0</v>
      </c>
      <c r="J17" s="10">
        <f>J13+J15</f>
        <v>155100</v>
      </c>
      <c r="K17" s="10">
        <f t="shared" si="2"/>
        <v>160000</v>
      </c>
      <c r="L17" s="10">
        <f t="shared" si="2"/>
        <v>160000</v>
      </c>
      <c r="M17" s="10">
        <f t="shared" si="2"/>
        <v>160000</v>
      </c>
      <c r="N17" s="3"/>
      <c r="O17" s="3"/>
      <c r="P17" s="3"/>
      <c r="Q17" s="3"/>
      <c r="R17" s="3"/>
    </row>
    <row r="19" ht="15">
      <c r="B19" s="24"/>
    </row>
    <row r="20" ht="15">
      <c r="B20" s="20"/>
    </row>
    <row r="22" ht="15">
      <c r="B22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B22" sqref="B22:V2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108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6"/>
      <c r="C4" s="14"/>
      <c r="D4" s="14"/>
      <c r="E4" s="14"/>
      <c r="F4" s="4"/>
      <c r="G4" s="4"/>
      <c r="H4" s="4"/>
      <c r="I4" s="4"/>
      <c r="J4" s="4"/>
      <c r="K4" s="14"/>
      <c r="L4" s="14"/>
      <c r="M4" s="14"/>
      <c r="N4" s="2"/>
      <c r="O4" s="2"/>
      <c r="P4" s="2"/>
      <c r="Q4" s="2"/>
      <c r="R4" s="2"/>
    </row>
    <row r="5" spans="2:18" ht="15">
      <c r="B5" s="6" t="s">
        <v>109</v>
      </c>
      <c r="C5" s="32">
        <v>900</v>
      </c>
      <c r="D5" s="17">
        <v>900</v>
      </c>
      <c r="E5" s="17">
        <v>900</v>
      </c>
      <c r="F5" s="4">
        <v>0</v>
      </c>
      <c r="G5" s="4">
        <v>0</v>
      </c>
      <c r="H5" s="10">
        <f>E5+F5-D5</f>
        <v>0</v>
      </c>
      <c r="I5" s="10">
        <v>0</v>
      </c>
      <c r="J5" s="32">
        <v>900</v>
      </c>
      <c r="K5" s="17">
        <v>900</v>
      </c>
      <c r="L5" s="17">
        <v>900</v>
      </c>
      <c r="M5" s="17">
        <v>900</v>
      </c>
      <c r="N5" s="2"/>
      <c r="O5" s="2"/>
      <c r="P5" s="2"/>
      <c r="Q5" s="2"/>
      <c r="R5" s="2"/>
    </row>
    <row r="6" spans="2:18" ht="15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"/>
      <c r="O6" s="3"/>
      <c r="P6" s="3"/>
      <c r="Q6" s="3"/>
      <c r="R6" s="3"/>
    </row>
    <row r="7" spans="2:18" ht="15">
      <c r="B7" s="8" t="s">
        <v>37</v>
      </c>
      <c r="C7" s="13">
        <v>300</v>
      </c>
      <c r="D7" s="13">
        <f aca="true" t="shared" si="0" ref="D7:D12">E7+F7</f>
        <v>160.69986541049798</v>
      </c>
      <c r="E7" s="13">
        <v>106.59488559892328</v>
      </c>
      <c r="F7" s="13">
        <v>54.104979811574694</v>
      </c>
      <c r="G7" s="13">
        <f>J7-F7-E7</f>
        <v>139.30013458950202</v>
      </c>
      <c r="H7" s="13">
        <f aca="true" t="shared" si="1" ref="H7:H12">E7+F7-D7</f>
        <v>0</v>
      </c>
      <c r="I7" s="13">
        <v>21.31897711978466</v>
      </c>
      <c r="J7" s="13">
        <v>300</v>
      </c>
      <c r="K7" s="13">
        <f>J7*1.035</f>
        <v>310.5</v>
      </c>
      <c r="L7" s="13">
        <f>K7*1.03</f>
        <v>319.815</v>
      </c>
      <c r="M7" s="13">
        <f>L7*1.03</f>
        <v>329.40945</v>
      </c>
      <c r="N7" s="3"/>
      <c r="O7" s="3"/>
      <c r="P7" s="3"/>
      <c r="Q7" s="3"/>
      <c r="R7" s="3"/>
    </row>
    <row r="8" spans="2:18" ht="15">
      <c r="B8" s="8" t="s">
        <v>38</v>
      </c>
      <c r="C8" s="13">
        <v>2100</v>
      </c>
      <c r="D8" s="13">
        <f t="shared" si="0"/>
        <v>1124.8990578734858</v>
      </c>
      <c r="E8" s="13">
        <v>746.164199192463</v>
      </c>
      <c r="F8" s="13">
        <v>378.73485868102284</v>
      </c>
      <c r="G8" s="13">
        <f>J8-F8-E8</f>
        <v>975.1009421265142</v>
      </c>
      <c r="H8" s="13">
        <f t="shared" si="1"/>
        <v>0</v>
      </c>
      <c r="I8" s="13">
        <v>149.2328398384926</v>
      </c>
      <c r="J8" s="13">
        <v>2100</v>
      </c>
      <c r="K8" s="13">
        <f>J8*1.035</f>
        <v>2173.5</v>
      </c>
      <c r="L8" s="13">
        <f aca="true" t="shared" si="2" ref="L8:M12">K8*1.03</f>
        <v>2238.705</v>
      </c>
      <c r="M8" s="13">
        <f t="shared" si="2"/>
        <v>2305.86615</v>
      </c>
      <c r="N8" s="3"/>
      <c r="O8" s="3"/>
      <c r="P8" s="3"/>
      <c r="Q8" s="3"/>
      <c r="R8" s="3"/>
    </row>
    <row r="9" spans="2:18" ht="15">
      <c r="B9" s="8" t="s">
        <v>39</v>
      </c>
      <c r="C9" s="13">
        <v>0</v>
      </c>
      <c r="D9" s="13">
        <f t="shared" si="0"/>
        <v>0</v>
      </c>
      <c r="E9">
        <v>0</v>
      </c>
      <c r="F9">
        <v>0</v>
      </c>
      <c r="G9" s="13">
        <f>J9-F9-E9</f>
        <v>0</v>
      </c>
      <c r="H9" s="13">
        <f t="shared" si="1"/>
        <v>0</v>
      </c>
      <c r="I9" s="13">
        <v>0</v>
      </c>
      <c r="J9" s="13">
        <v>0</v>
      </c>
      <c r="K9" s="13">
        <f>J9*1.035</f>
        <v>0</v>
      </c>
      <c r="L9" s="13">
        <f t="shared" si="2"/>
        <v>0</v>
      </c>
      <c r="M9" s="13">
        <f t="shared" si="2"/>
        <v>0</v>
      </c>
      <c r="N9" s="3"/>
      <c r="O9" s="3"/>
      <c r="P9" s="3"/>
      <c r="Q9" s="3"/>
      <c r="R9" s="3"/>
    </row>
    <row r="10" spans="2:18" ht="15">
      <c r="B10" s="8" t="s">
        <v>40</v>
      </c>
      <c r="C10" s="13">
        <v>1000</v>
      </c>
      <c r="D10" s="13">
        <f t="shared" si="0"/>
        <v>535.6662180349933</v>
      </c>
      <c r="E10" s="13">
        <v>355.3162853297443</v>
      </c>
      <c r="F10" s="13">
        <v>180.349932705249</v>
      </c>
      <c r="G10" s="13">
        <f>J10-F10-E10</f>
        <v>464.3337819650067</v>
      </c>
      <c r="H10" s="13">
        <f t="shared" si="1"/>
        <v>0</v>
      </c>
      <c r="I10" s="13">
        <v>71.06325706594886</v>
      </c>
      <c r="J10" s="13">
        <v>1000</v>
      </c>
      <c r="K10" s="13">
        <f>J10*1.035</f>
        <v>1035</v>
      </c>
      <c r="L10" s="13">
        <f t="shared" si="2"/>
        <v>1066.05</v>
      </c>
      <c r="M10" s="13">
        <f t="shared" si="2"/>
        <v>1098.0315</v>
      </c>
      <c r="N10" s="3"/>
      <c r="O10" s="3"/>
      <c r="P10" s="3"/>
      <c r="Q10" s="3"/>
      <c r="R10" s="3"/>
    </row>
    <row r="11" spans="2:18" ht="15">
      <c r="B11" s="8" t="s">
        <v>41</v>
      </c>
      <c r="C11" s="13">
        <v>2700</v>
      </c>
      <c r="D11" s="13">
        <f t="shared" si="0"/>
        <v>1446.2987886944818</v>
      </c>
      <c r="E11" s="13">
        <v>959.3539703903095</v>
      </c>
      <c r="F11" s="13">
        <v>486.94481830417226</v>
      </c>
      <c r="G11" s="13">
        <f>J11-F11-E11</f>
        <v>1253.7012113055182</v>
      </c>
      <c r="H11" s="13">
        <f t="shared" si="1"/>
        <v>0</v>
      </c>
      <c r="I11" s="13">
        <v>191.87079407806192</v>
      </c>
      <c r="J11" s="13">
        <v>2700</v>
      </c>
      <c r="K11" s="13">
        <f>J11*1.035</f>
        <v>2794.5</v>
      </c>
      <c r="L11" s="13">
        <f t="shared" si="2"/>
        <v>2878.335</v>
      </c>
      <c r="M11" s="13">
        <f t="shared" si="2"/>
        <v>2964.68505</v>
      </c>
      <c r="N11" s="3"/>
      <c r="O11" s="3"/>
      <c r="P11" s="3"/>
      <c r="Q11" s="3"/>
      <c r="R11" s="3"/>
    </row>
    <row r="12" spans="2:18" ht="15">
      <c r="B12" s="8" t="s">
        <v>42</v>
      </c>
      <c r="C12" s="13">
        <v>200</v>
      </c>
      <c r="D12" s="13">
        <f t="shared" si="0"/>
        <v>107.13324360699865</v>
      </c>
      <c r="E12" s="13">
        <v>71.06325706594885</v>
      </c>
      <c r="F12" s="13">
        <v>36.0699865410498</v>
      </c>
      <c r="G12" s="13">
        <f>J12-F12-E12</f>
        <v>92.86675639300137</v>
      </c>
      <c r="H12" s="13">
        <f t="shared" si="1"/>
        <v>0</v>
      </c>
      <c r="I12" s="13">
        <v>14.21265141318977</v>
      </c>
      <c r="J12" s="13">
        <v>200</v>
      </c>
      <c r="K12" s="13">
        <f>J12*1.035</f>
        <v>206.99999999999997</v>
      </c>
      <c r="L12" s="13">
        <f t="shared" si="2"/>
        <v>213.20999999999998</v>
      </c>
      <c r="M12" s="13">
        <f t="shared" si="2"/>
        <v>219.60629999999998</v>
      </c>
      <c r="N12" s="3"/>
      <c r="O12" s="3"/>
      <c r="P12" s="3"/>
      <c r="Q12" s="3"/>
      <c r="R12" s="3"/>
    </row>
    <row r="13" spans="2:18" ht="15">
      <c r="B13" s="6" t="s">
        <v>140</v>
      </c>
      <c r="C13" s="10">
        <f>SUM(C7:C12)</f>
        <v>6300</v>
      </c>
      <c r="D13" s="10">
        <f>SUM(D7:D12)</f>
        <v>3374.6971736204578</v>
      </c>
      <c r="E13" s="10">
        <f>SUM(E7:E12)</f>
        <v>2238.4925975773895</v>
      </c>
      <c r="F13" s="10">
        <f>SUM(F7:F12)</f>
        <v>1136.2045760430685</v>
      </c>
      <c r="G13" s="10">
        <f>SUM(G7:G12)</f>
        <v>2925.3028263795422</v>
      </c>
      <c r="H13" s="10">
        <f>SUM(H7:H12)</f>
        <v>0</v>
      </c>
      <c r="I13" s="10">
        <f>SUM(I7:I12)</f>
        <v>447.69851951547776</v>
      </c>
      <c r="J13" s="10">
        <f>SUM(J7:J12)</f>
        <v>6300</v>
      </c>
      <c r="K13" s="10">
        <f>SUM(K7:K12)</f>
        <v>6520.5</v>
      </c>
      <c r="L13" s="10">
        <f>SUM(L7:L12)</f>
        <v>6716.115</v>
      </c>
      <c r="M13" s="10">
        <f>SUM(M7:M12)</f>
        <v>6917.59845</v>
      </c>
      <c r="N13" s="3"/>
      <c r="O13" s="3"/>
      <c r="P13" s="3"/>
      <c r="Q13" s="3"/>
      <c r="R13" s="3"/>
    </row>
    <row r="14" spans="2:18" ht="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</row>
    <row r="15" spans="2:18" ht="15">
      <c r="B15" s="6" t="s">
        <v>70</v>
      </c>
      <c r="C15" s="10">
        <f>C13+C5</f>
        <v>7200</v>
      </c>
      <c r="D15" s="10">
        <f aca="true" t="shared" si="3" ref="D15:M15">D13+D5</f>
        <v>4274.697173620458</v>
      </c>
      <c r="E15" s="10">
        <f t="shared" si="3"/>
        <v>3138.4925975773895</v>
      </c>
      <c r="F15" s="10">
        <f t="shared" si="3"/>
        <v>1136.2045760430685</v>
      </c>
      <c r="G15" s="10">
        <f t="shared" si="3"/>
        <v>2925.3028263795422</v>
      </c>
      <c r="H15" s="10">
        <f t="shared" si="3"/>
        <v>0</v>
      </c>
      <c r="I15" s="10">
        <f t="shared" si="3"/>
        <v>447.69851951547776</v>
      </c>
      <c r="J15" s="10">
        <f>J13+J5</f>
        <v>7200</v>
      </c>
      <c r="K15" s="10">
        <f t="shared" si="3"/>
        <v>7420.5</v>
      </c>
      <c r="L15" s="10">
        <f t="shared" si="3"/>
        <v>7616.115</v>
      </c>
      <c r="M15" s="10">
        <f t="shared" si="3"/>
        <v>7817.59845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7" t="s">
        <v>138</v>
      </c>
      <c r="C17" s="13">
        <v>0</v>
      </c>
      <c r="D17" s="13">
        <v>0</v>
      </c>
      <c r="E17" s="13">
        <v>0</v>
      </c>
      <c r="F17" s="10"/>
      <c r="G17" s="10"/>
      <c r="H17" s="13">
        <f>E17+F17-D17</f>
        <v>0</v>
      </c>
      <c r="I17" s="13"/>
      <c r="J17" s="13">
        <f>-583*0.9</f>
        <v>-524.7</v>
      </c>
      <c r="K17" s="13">
        <f>-583*0.9</f>
        <v>-524.7</v>
      </c>
      <c r="L17" s="13">
        <f>-583*0.9</f>
        <v>-524.7</v>
      </c>
      <c r="M17" s="13">
        <f>-583*0.9</f>
        <v>-524.7</v>
      </c>
      <c r="N17" s="3"/>
      <c r="O17" s="3"/>
      <c r="P17" s="3"/>
      <c r="Q17" s="3"/>
      <c r="R17" s="3"/>
    </row>
    <row r="18" spans="2:18" ht="15">
      <c r="B18" s="6" t="s">
        <v>0</v>
      </c>
      <c r="C18" s="10">
        <f>SUM(C16:C17)</f>
        <v>0</v>
      </c>
      <c r="D18" s="10">
        <f aca="true" t="shared" si="4" ref="D18:M18">SUM(D16:D17)</f>
        <v>0</v>
      </c>
      <c r="E18" s="10">
        <f t="shared" si="4"/>
        <v>0</v>
      </c>
      <c r="F18" s="10">
        <f t="shared" si="4"/>
        <v>0</v>
      </c>
      <c r="G18" s="10">
        <f>SUM(G16:G17)</f>
        <v>0</v>
      </c>
      <c r="H18" s="10">
        <f>SUM(H16:H17)</f>
        <v>0</v>
      </c>
      <c r="I18" s="10">
        <f>SUM(I16:I17)</f>
        <v>0</v>
      </c>
      <c r="J18" s="10">
        <f>SUM(J16:J17)</f>
        <v>-524.7</v>
      </c>
      <c r="K18" s="10">
        <f t="shared" si="4"/>
        <v>-524.7</v>
      </c>
      <c r="L18" s="10">
        <f t="shared" si="4"/>
        <v>-524.7</v>
      </c>
      <c r="M18" s="10">
        <f t="shared" si="4"/>
        <v>-524.7</v>
      </c>
      <c r="N18" s="3"/>
      <c r="O18" s="3"/>
      <c r="P18" s="3"/>
      <c r="Q18" s="3"/>
      <c r="R18" s="3"/>
    </row>
    <row r="19" spans="2:18" ht="15"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"/>
      <c r="O19" s="3"/>
      <c r="P19" s="3"/>
      <c r="Q19" s="3"/>
      <c r="R19" s="3"/>
    </row>
    <row r="20" spans="2:18" ht="15">
      <c r="B20" s="6" t="s">
        <v>73</v>
      </c>
      <c r="C20" s="10">
        <f aca="true" t="shared" si="5" ref="C20:M20">C15+C18</f>
        <v>7200</v>
      </c>
      <c r="D20" s="10">
        <f t="shared" si="5"/>
        <v>4274.697173620458</v>
      </c>
      <c r="E20" s="10">
        <f t="shared" si="5"/>
        <v>3138.4925975773895</v>
      </c>
      <c r="F20" s="10">
        <f t="shared" si="5"/>
        <v>1136.2045760430685</v>
      </c>
      <c r="G20" s="10">
        <f>G15+G18</f>
        <v>2925.3028263795422</v>
      </c>
      <c r="H20" s="10">
        <f>H15+H18</f>
        <v>0</v>
      </c>
      <c r="I20" s="10">
        <f>I15+I18</f>
        <v>447.69851951547776</v>
      </c>
      <c r="J20" s="10">
        <f>J15+J18</f>
        <v>6675.3</v>
      </c>
      <c r="K20" s="10">
        <f t="shared" si="5"/>
        <v>6895.8</v>
      </c>
      <c r="L20" s="10">
        <f t="shared" si="5"/>
        <v>7091.415</v>
      </c>
      <c r="M20" s="10">
        <f t="shared" si="5"/>
        <v>7292.898450000001</v>
      </c>
      <c r="N20" s="3"/>
      <c r="O20" s="3"/>
      <c r="P20" s="3"/>
      <c r="Q20" s="3"/>
      <c r="R20" s="3"/>
    </row>
    <row r="22" ht="15">
      <c r="B22" s="24"/>
    </row>
    <row r="23" ht="15">
      <c r="B23" s="2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PageLayoutView="0" workbookViewId="0" topLeftCell="A1">
      <selection activeCell="B25" sqref="B25:V31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6" t="s">
        <v>91</v>
      </c>
      <c r="C2" s="14" t="s">
        <v>82</v>
      </c>
      <c r="D2" s="14" t="s">
        <v>83</v>
      </c>
      <c r="E2" s="14" t="s">
        <v>84</v>
      </c>
      <c r="F2" s="4" t="s">
        <v>142</v>
      </c>
      <c r="G2" s="4" t="s">
        <v>150</v>
      </c>
      <c r="H2" s="4" t="s">
        <v>85</v>
      </c>
      <c r="I2" s="4" t="s">
        <v>151</v>
      </c>
      <c r="J2" s="14" t="s">
        <v>136</v>
      </c>
      <c r="K2" s="14" t="s">
        <v>171</v>
      </c>
      <c r="L2" s="14" t="s">
        <v>86</v>
      </c>
      <c r="M2" s="14" t="s">
        <v>87</v>
      </c>
      <c r="N2" s="2" t="s">
        <v>1</v>
      </c>
      <c r="O2" s="2" t="s">
        <v>2</v>
      </c>
      <c r="P2" s="2" t="s">
        <v>3</v>
      </c>
      <c r="Q2" s="2" t="s">
        <v>7</v>
      </c>
      <c r="R2" s="2" t="s">
        <v>4</v>
      </c>
      <c r="T2" s="2"/>
    </row>
    <row r="3" spans="2:20" ht="15">
      <c r="B3" s="31" t="str">
        <f>'Summary Net'!B3</f>
        <v>November 2017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2"/>
      <c r="O3" s="2"/>
      <c r="P3" s="2"/>
      <c r="Q3" s="2"/>
      <c r="R3" s="2"/>
      <c r="T3" s="2"/>
    </row>
    <row r="4" spans="2:18" ht="15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3"/>
      <c r="R4" s="3"/>
    </row>
    <row r="5" spans="2:18" ht="15">
      <c r="B5" s="7" t="s">
        <v>79</v>
      </c>
      <c r="C5" s="13">
        <v>600</v>
      </c>
      <c r="D5" s="13">
        <v>372</v>
      </c>
      <c r="E5" s="13">
        <v>238</v>
      </c>
      <c r="F5" s="13">
        <v>134</v>
      </c>
      <c r="G5" s="13"/>
      <c r="H5" s="13">
        <f>E5+F5-D5</f>
        <v>0</v>
      </c>
      <c r="I5" s="13"/>
      <c r="J5" s="13">
        <v>820</v>
      </c>
      <c r="K5" s="13">
        <f>J5*1.03</f>
        <v>844.6</v>
      </c>
      <c r="L5" s="13">
        <f>K5*1.03</f>
        <v>869.9380000000001</v>
      </c>
      <c r="M5" s="13">
        <f>L5*1.03</f>
        <v>896.0361400000002</v>
      </c>
      <c r="N5" s="3"/>
      <c r="O5" s="3"/>
      <c r="P5" s="3"/>
      <c r="Q5" s="3"/>
      <c r="R5" s="3"/>
    </row>
    <row r="6" spans="2:18" ht="15">
      <c r="B6" s="7" t="s">
        <v>81</v>
      </c>
      <c r="C6" s="13">
        <v>6800</v>
      </c>
      <c r="D6" s="13">
        <v>2207</v>
      </c>
      <c r="E6" s="13">
        <v>1212</v>
      </c>
      <c r="F6" s="13">
        <v>995</v>
      </c>
      <c r="G6" s="10"/>
      <c r="H6" s="13">
        <f>E6+F6-D6</f>
        <v>0</v>
      </c>
      <c r="I6" s="13"/>
      <c r="J6" s="13">
        <v>6800</v>
      </c>
      <c r="K6" s="13">
        <f>J6*1.03</f>
        <v>7004</v>
      </c>
      <c r="L6" s="13">
        <f>K6*1.03</f>
        <v>7214.12</v>
      </c>
      <c r="M6" s="13">
        <f>L6*1.03</f>
        <v>7430.5436</v>
      </c>
      <c r="N6" s="3"/>
      <c r="O6" s="3"/>
      <c r="P6" s="3"/>
      <c r="Q6" s="3"/>
      <c r="R6" s="3"/>
    </row>
    <row r="7" spans="2:18" ht="15">
      <c r="B7" s="7" t="s">
        <v>69</v>
      </c>
      <c r="C7" s="13">
        <v>2000</v>
      </c>
      <c r="D7" s="13">
        <v>2000</v>
      </c>
      <c r="E7" s="10"/>
      <c r="F7" s="10"/>
      <c r="G7" s="10"/>
      <c r="H7" s="13">
        <f>E7+F7-D7</f>
        <v>-2000</v>
      </c>
      <c r="I7" s="13"/>
      <c r="J7" s="13">
        <v>0</v>
      </c>
      <c r="K7" s="13">
        <v>0</v>
      </c>
      <c r="L7" s="13">
        <v>0</v>
      </c>
      <c r="M7" s="13">
        <v>0</v>
      </c>
      <c r="N7" s="3"/>
      <c r="O7" s="3"/>
      <c r="P7" s="3"/>
      <c r="Q7" s="3"/>
      <c r="R7" s="3"/>
    </row>
    <row r="8" spans="2:18" ht="15">
      <c r="B8" s="7" t="s">
        <v>173</v>
      </c>
      <c r="C8" s="13">
        <v>37700</v>
      </c>
      <c r="D8" s="13">
        <v>0</v>
      </c>
      <c r="E8" s="10"/>
      <c r="F8" s="10"/>
      <c r="G8" s="10"/>
      <c r="H8" s="13"/>
      <c r="I8" s="13"/>
      <c r="J8" s="13">
        <v>37700</v>
      </c>
      <c r="K8" s="13">
        <v>37700</v>
      </c>
      <c r="L8" s="13">
        <v>37700</v>
      </c>
      <c r="M8" s="13">
        <v>37700</v>
      </c>
      <c r="N8" s="3"/>
      <c r="O8" s="3"/>
      <c r="P8" s="3"/>
      <c r="Q8" s="3"/>
      <c r="R8" s="3"/>
    </row>
    <row r="9" spans="2:18" ht="15">
      <c r="B9" s="7" t="s">
        <v>58</v>
      </c>
      <c r="C9" s="13">
        <v>1000</v>
      </c>
      <c r="D9" s="13">
        <v>1000</v>
      </c>
      <c r="E9" s="13">
        <v>1025</v>
      </c>
      <c r="F9" s="13"/>
      <c r="G9" s="13"/>
      <c r="H9" s="13">
        <f>E9+F9-D9</f>
        <v>25</v>
      </c>
      <c r="I9" s="13"/>
      <c r="J9" s="13">
        <v>1025</v>
      </c>
      <c r="K9" s="13">
        <v>1080</v>
      </c>
      <c r="L9" s="13">
        <v>1110</v>
      </c>
      <c r="M9" s="13">
        <v>1150</v>
      </c>
      <c r="N9" s="3"/>
      <c r="O9" s="3"/>
      <c r="P9" s="3"/>
      <c r="Q9" s="3"/>
      <c r="R9" s="3"/>
    </row>
    <row r="10" spans="2:18" ht="15">
      <c r="B10" s="6" t="s">
        <v>80</v>
      </c>
      <c r="C10" s="10">
        <f aca="true" t="shared" si="0" ref="C10:M10">SUM(C5:C9)</f>
        <v>48100</v>
      </c>
      <c r="D10" s="10">
        <f t="shared" si="0"/>
        <v>5579</v>
      </c>
      <c r="E10" s="10">
        <f t="shared" si="0"/>
        <v>2475</v>
      </c>
      <c r="F10" s="10">
        <f t="shared" si="0"/>
        <v>1129</v>
      </c>
      <c r="G10" s="10">
        <f t="shared" si="0"/>
        <v>0</v>
      </c>
      <c r="H10" s="10">
        <f t="shared" si="0"/>
        <v>-1975</v>
      </c>
      <c r="I10" s="10">
        <f t="shared" si="0"/>
        <v>0</v>
      </c>
      <c r="J10" s="10">
        <f t="shared" si="0"/>
        <v>46345</v>
      </c>
      <c r="K10" s="10">
        <f t="shared" si="0"/>
        <v>46628.6</v>
      </c>
      <c r="L10" s="10">
        <f t="shared" si="0"/>
        <v>46894.058</v>
      </c>
      <c r="M10" s="10">
        <f t="shared" si="0"/>
        <v>47176.57974</v>
      </c>
      <c r="N10" s="3"/>
      <c r="O10" s="3"/>
      <c r="P10" s="3"/>
      <c r="Q10" s="3"/>
      <c r="R10" s="3"/>
    </row>
    <row r="11" spans="2:18" ht="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"/>
      <c r="O11" s="3"/>
      <c r="P11" s="3"/>
      <c r="Q11" s="3"/>
      <c r="R11" s="3"/>
    </row>
    <row r="12" spans="2:18" ht="15">
      <c r="B12" s="7" t="s">
        <v>92</v>
      </c>
      <c r="C12" s="16">
        <v>82400</v>
      </c>
      <c r="D12" s="13">
        <f>E12+F12</f>
        <v>44138.89636608345</v>
      </c>
      <c r="E12" s="13">
        <v>29278.06191117093</v>
      </c>
      <c r="F12" s="13">
        <v>14860.834454912518</v>
      </c>
      <c r="G12" s="13">
        <f>J12-F12-E12</f>
        <v>38261.10363391655</v>
      </c>
      <c r="H12" s="13">
        <f>E12+F12-D12</f>
        <v>0</v>
      </c>
      <c r="I12" s="13">
        <v>5855.612382234186</v>
      </c>
      <c r="J12" s="16">
        <v>82400</v>
      </c>
      <c r="K12" s="13">
        <f>J12*1.035</f>
        <v>85284</v>
      </c>
      <c r="L12" s="13">
        <f>K12*1.03</f>
        <v>87842.52</v>
      </c>
      <c r="M12" s="13">
        <f>L12*1.03</f>
        <v>90477.79560000001</v>
      </c>
      <c r="N12" s="3"/>
      <c r="O12" s="3"/>
      <c r="P12" s="3"/>
      <c r="Q12" s="3"/>
      <c r="R12" s="3"/>
    </row>
    <row r="13" spans="2:18" ht="15">
      <c r="B13" s="7" t="s">
        <v>93</v>
      </c>
      <c r="C13" s="13">
        <v>0</v>
      </c>
      <c r="D13" s="13">
        <v>0</v>
      </c>
      <c r="E13" s="13">
        <v>13395.423956931358</v>
      </c>
      <c r="F13" s="13">
        <v>6799.192462987887</v>
      </c>
      <c r="G13" s="13">
        <f>J13-F13-E13</f>
        <v>-20194.616419919243</v>
      </c>
      <c r="H13" s="13">
        <f>E13+F13-D13</f>
        <v>20194.616419919243</v>
      </c>
      <c r="I13" s="13">
        <v>2679.0847913862717</v>
      </c>
      <c r="J13" s="13">
        <v>0</v>
      </c>
      <c r="K13" s="13">
        <f>J13*1.035</f>
        <v>0</v>
      </c>
      <c r="L13" s="13">
        <f>K13*1.03</f>
        <v>0</v>
      </c>
      <c r="M13" s="13">
        <f>L13*1.03</f>
        <v>0</v>
      </c>
      <c r="N13" s="3"/>
      <c r="O13" s="3"/>
      <c r="P13" s="3"/>
      <c r="Q13" s="3"/>
      <c r="R13" s="3"/>
    </row>
    <row r="14" spans="2:18" ht="15">
      <c r="B14" s="7" t="s">
        <v>94</v>
      </c>
      <c r="C14" s="15">
        <v>1000</v>
      </c>
      <c r="D14" s="13">
        <f>E14+F14</f>
        <v>535.6662180349933</v>
      </c>
      <c r="E14" s="13">
        <v>355.3162853297443</v>
      </c>
      <c r="F14" s="13">
        <v>180.349932705249</v>
      </c>
      <c r="G14" s="13">
        <f>J14-F14-E14</f>
        <v>464.3337819650067</v>
      </c>
      <c r="H14" s="13">
        <f>E14+F14-D14</f>
        <v>0</v>
      </c>
      <c r="I14" s="13">
        <v>71.06325706594886</v>
      </c>
      <c r="J14" s="15">
        <v>1000</v>
      </c>
      <c r="K14" s="13">
        <f>J14*1.035</f>
        <v>1035</v>
      </c>
      <c r="L14" s="13">
        <f>K14*1.03</f>
        <v>1066.05</v>
      </c>
      <c r="M14" s="13">
        <f>L14*1.03</f>
        <v>1098.0315</v>
      </c>
      <c r="N14" s="3"/>
      <c r="O14" s="3"/>
      <c r="P14" s="3"/>
      <c r="Q14" s="3"/>
      <c r="R14" s="3"/>
    </row>
    <row r="15" spans="2:18" ht="15">
      <c r="B15" s="6" t="s">
        <v>140</v>
      </c>
      <c r="C15" s="10">
        <f>SUM(C12:C14)</f>
        <v>83400</v>
      </c>
      <c r="D15" s="10">
        <f aca="true" t="shared" si="1" ref="D15:M15">SUM(D12:D14)</f>
        <v>44674.562584118445</v>
      </c>
      <c r="E15" s="10">
        <f t="shared" si="1"/>
        <v>43028.802153432036</v>
      </c>
      <c r="F15" s="10">
        <f t="shared" si="1"/>
        <v>21840.37685060565</v>
      </c>
      <c r="G15" s="10">
        <f t="shared" si="1"/>
        <v>18530.820995962316</v>
      </c>
      <c r="H15" s="10">
        <f t="shared" si="1"/>
        <v>20194.616419919243</v>
      </c>
      <c r="I15" s="10">
        <f t="shared" si="1"/>
        <v>8605.760430686407</v>
      </c>
      <c r="J15" s="10">
        <f>SUM(J12:J14)</f>
        <v>83400</v>
      </c>
      <c r="K15" s="10">
        <f t="shared" si="1"/>
        <v>86319</v>
      </c>
      <c r="L15" s="10">
        <f t="shared" si="1"/>
        <v>88908.57</v>
      </c>
      <c r="M15" s="10">
        <f t="shared" si="1"/>
        <v>91575.82710000001</v>
      </c>
      <c r="N15" s="3"/>
      <c r="O15" s="3"/>
      <c r="P15" s="3"/>
      <c r="Q15" s="3"/>
      <c r="R15" s="3"/>
    </row>
    <row r="16" spans="2:18" ht="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</row>
    <row r="17" spans="2:18" ht="15">
      <c r="B17" s="6" t="s">
        <v>70</v>
      </c>
      <c r="C17" s="10">
        <f>C10+C15</f>
        <v>131500</v>
      </c>
      <c r="D17" s="10">
        <f aca="true" t="shared" si="2" ref="D17:M17">D10+D15</f>
        <v>50253.562584118445</v>
      </c>
      <c r="E17" s="10">
        <f t="shared" si="2"/>
        <v>45503.802153432036</v>
      </c>
      <c r="F17" s="10">
        <f t="shared" si="2"/>
        <v>22969.37685060565</v>
      </c>
      <c r="G17" s="10">
        <f t="shared" si="2"/>
        <v>18530.820995962316</v>
      </c>
      <c r="H17" s="10">
        <f t="shared" si="2"/>
        <v>18219.616419919243</v>
      </c>
      <c r="I17" s="10">
        <f t="shared" si="2"/>
        <v>8605.760430686407</v>
      </c>
      <c r="J17" s="10">
        <f>J10+J15</f>
        <v>129745</v>
      </c>
      <c r="K17" s="10">
        <f t="shared" si="2"/>
        <v>132947.6</v>
      </c>
      <c r="L17" s="10">
        <f t="shared" si="2"/>
        <v>135802.628</v>
      </c>
      <c r="M17" s="10">
        <f t="shared" si="2"/>
        <v>138752.40684</v>
      </c>
      <c r="N17" s="3"/>
      <c r="O17" s="3"/>
      <c r="P17" s="3"/>
      <c r="Q17" s="3"/>
      <c r="R17" s="3"/>
    </row>
    <row r="18" spans="2:18" ht="1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2:18" ht="15">
      <c r="B19" s="7" t="s">
        <v>95</v>
      </c>
      <c r="C19" s="13">
        <v>-6800</v>
      </c>
      <c r="D19" s="13">
        <v>-3400</v>
      </c>
      <c r="E19" s="13">
        <v>-2451</v>
      </c>
      <c r="F19" s="13">
        <f>-623-676</f>
        <v>-1299</v>
      </c>
      <c r="G19" s="13"/>
      <c r="H19" s="13">
        <f>E19+F19-D19</f>
        <v>-350</v>
      </c>
      <c r="I19" s="13"/>
      <c r="J19" s="13">
        <v>-6800</v>
      </c>
      <c r="K19" s="13">
        <v>-6800</v>
      </c>
      <c r="L19" s="13">
        <v>-6800</v>
      </c>
      <c r="M19" s="13">
        <v>-6800</v>
      </c>
      <c r="N19" s="3"/>
      <c r="O19" s="3"/>
      <c r="P19" s="3"/>
      <c r="Q19" s="3"/>
      <c r="R19" s="3"/>
    </row>
    <row r="20" spans="2:18" ht="15">
      <c r="B20" s="7" t="s">
        <v>89</v>
      </c>
      <c r="C20" s="13">
        <v>-24000</v>
      </c>
      <c r="D20" s="13">
        <v>-12250</v>
      </c>
      <c r="E20" s="13">
        <v>-12250</v>
      </c>
      <c r="F20" s="10"/>
      <c r="G20" s="10"/>
      <c r="H20" s="13">
        <f>E20+F20-D20</f>
        <v>0</v>
      </c>
      <c r="I20" s="13"/>
      <c r="J20" s="13">
        <v>-24000</v>
      </c>
      <c r="K20" s="13">
        <v>-24000</v>
      </c>
      <c r="L20" s="13">
        <v>-24000</v>
      </c>
      <c r="M20" s="13">
        <v>-24000</v>
      </c>
      <c r="N20" s="3"/>
      <c r="O20" s="3"/>
      <c r="P20" s="3"/>
      <c r="Q20" s="3"/>
      <c r="R20" s="3"/>
    </row>
    <row r="21" spans="2:18" ht="15">
      <c r="B21" s="6" t="s">
        <v>0</v>
      </c>
      <c r="C21" s="10">
        <f>SUM(C19:C20)</f>
        <v>-30800</v>
      </c>
      <c r="D21" s="10">
        <f aca="true" t="shared" si="3" ref="D21:M21">SUM(D19:D20)</f>
        <v>-15650</v>
      </c>
      <c r="E21" s="10">
        <f t="shared" si="3"/>
        <v>-14701</v>
      </c>
      <c r="F21" s="10">
        <f t="shared" si="3"/>
        <v>-1299</v>
      </c>
      <c r="G21" s="10">
        <f>SUM(G19:G20)</f>
        <v>0</v>
      </c>
      <c r="H21" s="10">
        <f>SUM(H19:H20)</f>
        <v>-350</v>
      </c>
      <c r="I21" s="10">
        <f>SUM(I19:I20)</f>
        <v>0</v>
      </c>
      <c r="J21" s="10">
        <f>SUM(J19:J20)</f>
        <v>-30800</v>
      </c>
      <c r="K21" s="10">
        <f t="shared" si="3"/>
        <v>-30800</v>
      </c>
      <c r="L21" s="10">
        <f t="shared" si="3"/>
        <v>-30800</v>
      </c>
      <c r="M21" s="10">
        <f t="shared" si="3"/>
        <v>-30800</v>
      </c>
      <c r="N21" s="3"/>
      <c r="O21" s="3"/>
      <c r="P21" s="3"/>
      <c r="Q21" s="3"/>
      <c r="R21" s="3"/>
    </row>
    <row r="22" spans="2:18" ht="15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"/>
      <c r="O22" s="3"/>
      <c r="P22" s="3"/>
      <c r="Q22" s="3"/>
      <c r="R22" s="3"/>
    </row>
    <row r="23" spans="2:18" ht="15">
      <c r="B23" s="6" t="s">
        <v>73</v>
      </c>
      <c r="C23" s="10">
        <f aca="true" t="shared" si="4" ref="C23:M23">C17+C21</f>
        <v>100700</v>
      </c>
      <c r="D23" s="10">
        <f t="shared" si="4"/>
        <v>34603.562584118445</v>
      </c>
      <c r="E23" s="10">
        <f t="shared" si="4"/>
        <v>30802.802153432036</v>
      </c>
      <c r="F23" s="10">
        <f t="shared" si="4"/>
        <v>21670.37685060565</v>
      </c>
      <c r="G23" s="10">
        <f>G17+G21</f>
        <v>18530.820995962316</v>
      </c>
      <c r="H23" s="10">
        <f>H17+H21</f>
        <v>17869.616419919243</v>
      </c>
      <c r="I23" s="10">
        <f>I17+I21</f>
        <v>8605.760430686407</v>
      </c>
      <c r="J23" s="10">
        <f>J17+J21</f>
        <v>98945</v>
      </c>
      <c r="K23" s="10">
        <f t="shared" si="4"/>
        <v>102147.6</v>
      </c>
      <c r="L23" s="10">
        <f t="shared" si="4"/>
        <v>105002.628</v>
      </c>
      <c r="M23" s="10">
        <f t="shared" si="4"/>
        <v>107952.40684000001</v>
      </c>
      <c r="N23" s="3"/>
      <c r="O23" s="3"/>
      <c r="P23" s="3"/>
      <c r="Q23" s="3"/>
      <c r="R23" s="3"/>
    </row>
    <row r="25" ht="15">
      <c r="B25" s="21"/>
    </row>
    <row r="26" ht="15">
      <c r="B26" s="26"/>
    </row>
    <row r="29" ht="15">
      <c r="B29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Mew</dc:creator>
  <cp:keywords/>
  <dc:description/>
  <cp:lastModifiedBy>Shona Bendix</cp:lastModifiedBy>
  <cp:lastPrinted>2017-10-13T08:36:06Z</cp:lastPrinted>
  <dcterms:created xsi:type="dcterms:W3CDTF">2016-03-24T10:27:23Z</dcterms:created>
  <dcterms:modified xsi:type="dcterms:W3CDTF">2017-10-27T14:12:20Z</dcterms:modified>
  <cp:category/>
  <cp:version/>
  <cp:contentType/>
  <cp:contentStatus/>
</cp:coreProperties>
</file>